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250" activeTab="0"/>
  </bookViews>
  <sheets>
    <sheet name="Załącznik nr 2" sheetId="1" r:id="rId1"/>
  </sheets>
  <definedNames/>
  <calcPr fullCalcOnLoad="1"/>
</workbook>
</file>

<file path=xl/sharedStrings.xml><?xml version="1.0" encoding="utf-8"?>
<sst xmlns="http://schemas.openxmlformats.org/spreadsheetml/2006/main" count="125" uniqueCount="106">
  <si>
    <t>Wyszczególnienie</t>
  </si>
  <si>
    <t>Wykonanie na 31.12.2007</t>
  </si>
  <si>
    <t>Wykonanie na 31.12.2008</t>
  </si>
  <si>
    <t>Wykonanie na 31.12.2009</t>
  </si>
  <si>
    <t>Plan za III kw.2010       NIE</t>
  </si>
  <si>
    <t>Wykonanie na 31.12.2010</t>
  </si>
  <si>
    <t>Plan  za III kw.2011</t>
  </si>
  <si>
    <t>Plan na 2011 wg UR 26.10.2011</t>
  </si>
  <si>
    <t>Wykonanie na 31.12.2011</t>
  </si>
  <si>
    <t>Plan na 2012</t>
  </si>
  <si>
    <t>Prognoza na 2013</t>
  </si>
  <si>
    <t>Prognoza na 2014</t>
  </si>
  <si>
    <t>Prognoza na 2015</t>
  </si>
  <si>
    <t>Prognoza  na    2016</t>
  </si>
  <si>
    <t>Prognoza na 2017</t>
  </si>
  <si>
    <t>Prognoza na 2018</t>
  </si>
  <si>
    <t>Prognoza na 2019</t>
  </si>
  <si>
    <t>Prognoza na 2020</t>
  </si>
  <si>
    <t>Prognoza     2021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</si>
  <si>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</si>
  <si>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</si>
  <si>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</si>
  <si>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</si>
  <si>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</si>
  <si>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</si>
  <si>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</si>
  <si>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</si>
  <si>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</si>
  <si>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</si>
  <si>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</si>
  <si>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</si>
  <si>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</si>
  <si>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</si>
  <si>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</si>
  <si>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</si>
  <si>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</si>
  <si>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</si>
  <si>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</si>
  <si>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</si>
  <si>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</si>
  <si>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</si>
  <si>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</si>
  <si>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</si>
  <si>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</si>
  <si>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</si>
  <si>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</si>
  <si>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</si>
  <si>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</si>
  <si>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</si>
  <si>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</si>
  <si>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</si>
  <si>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</si>
  <si>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</si>
  <si>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</si>
  <si>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</si>
  <si>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</si>
  <si>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 w %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</si>
  <si>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</si>
  <si>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</si>
  <si>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</si>
  <si>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</si>
  <si>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</si>
  <si>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</si>
  <si>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</si>
  <si>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 w %</t>
  </si>
  <si>
    <t>J.1. Wskaźnik długu bez wyłączeń ( I/A*100%)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</si>
  <si>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</si>
  <si>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</si>
  <si>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</si>
  <si>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t>Skumulowany wynik budżetu</t>
  </si>
  <si>
    <t>wolne śr  na 31.12.</t>
  </si>
  <si>
    <t>Wydatki+Rozchody</t>
  </si>
  <si>
    <t>Różnice =(D+P)-(W+R)</t>
  </si>
  <si>
    <t>Plan spłat + odset/D</t>
  </si>
  <si>
    <t>Spłaty odsetek od kredytów i pozyczek, w tym :</t>
  </si>
  <si>
    <t>TAK</t>
  </si>
  <si>
    <t>tak</t>
  </si>
  <si>
    <t>Poż i Kred UE  zaciąg w 2012na część gminy 2.563.341,34</t>
  </si>
  <si>
    <t>Przychody</t>
  </si>
  <si>
    <t>jw.</t>
  </si>
  <si>
    <t>Rozchody</t>
  </si>
  <si>
    <t xml:space="preserve">  wydatki dot.obsługi kred i poż.</t>
  </si>
  <si>
    <t>III kw 2011</t>
  </si>
  <si>
    <t>pw2011</t>
  </si>
  <si>
    <t>(Db+sprze maj-Wyd b)/D*100</t>
  </si>
  <si>
    <t xml:space="preserve">wsk 3 letni </t>
  </si>
  <si>
    <t>wskaź 3 letni</t>
  </si>
  <si>
    <t>33%  wskaź 3 letniego</t>
  </si>
  <si>
    <t>(plan spłat +odset);D</t>
  </si>
  <si>
    <t>suma</t>
  </si>
  <si>
    <t>razem</t>
  </si>
  <si>
    <t>z 2011r-</t>
  </si>
  <si>
    <t>Razem</t>
  </si>
  <si>
    <t>PW 2011</t>
  </si>
  <si>
    <t xml:space="preserve">SPŁATY KRED I POŻ </t>
  </si>
  <si>
    <t>Prognoza     2022</t>
  </si>
  <si>
    <t>Prognoza     2023</t>
  </si>
  <si>
    <t xml:space="preserve">TAK  MC  Prognoza kwoty długu i spłat zobowiązań dla    gminy  JEZIORANY  na lata 2012-2024  </t>
  </si>
  <si>
    <t>Prognoza     2024</t>
  </si>
  <si>
    <t>Dochody + Przychody</t>
  </si>
  <si>
    <t xml:space="preserve">ROK </t>
  </si>
  <si>
    <r>
      <t xml:space="preserve">Wskaźnik obsługi długu po odliczeniu splat UE = </t>
    </r>
    <r>
      <rPr>
        <b/>
        <sz val="8"/>
        <rFont val="Arial"/>
        <family val="2"/>
      </rPr>
      <t>H</t>
    </r>
  </si>
  <si>
    <t xml:space="preserve">%Db+Ds.-Wb/D w danym roku </t>
  </si>
  <si>
    <t xml:space="preserve">wskaź 3 letni </t>
  </si>
  <si>
    <t>Prognoza     2025</t>
  </si>
  <si>
    <r>
      <t xml:space="preserve">  </t>
    </r>
    <r>
      <rPr>
        <sz val="10"/>
        <rFont val="Arial"/>
        <family val="2"/>
      </rPr>
      <t xml:space="preserve">Załacznik nr 2- do Uchwały Rady Miejskiej w Jezioranach Nr XXI/ 188  /2012  z dnia 29 grudnia  2012r.  w sprawie  Wieloletniej Prognozy Finansowej gminy  na 2012-2024      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</si>
</sst>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  <numFmt numFmtId="166" formatCode="0.0000"/>
    <numFmt numFmtId="167" formatCode="0.000000"/>
    <numFmt numFmtId="168" formatCode="0.000"/>
    <numFmt numFmtId="169" formatCode="0.00000"/>
    <numFmt numFmtId="170" formatCode="#,##0.000_ ;[Red]\-#,##0.000\ "/>
    <numFmt numFmtId="171" formatCode="#,##0.0"/>
    <numFmt numFmtId="172" formatCode="0.0%"/>
    <numFmt numFmtId="173" formatCode="0.0000000000"/>
    <numFmt numFmtId="174" formatCode="0.000000000"/>
    <numFmt numFmtId="175" formatCode="0.00000000"/>
    <numFmt numFmtId="176" formatCode="0.0000000"/>
    <numFmt numFmtId="177" formatCode="#,##0.0000"/>
  </numFmts>
  <fonts count="2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3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wrapText="1"/>
    </xf>
    <xf numFmtId="0" fontId="22" fillId="0" borderId="10" xfId="0" applyFont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center" vertical="center" wrapText="1"/>
      <protection locked="0"/>
    </xf>
    <xf numFmtId="0" fontId="22" fillId="24" borderId="12" xfId="0" applyFont="1" applyFill="1" applyBorder="1" applyAlignment="1" applyProtection="1">
      <alignment horizontal="center" vertical="center" wrapText="1"/>
      <protection locked="0"/>
    </xf>
    <xf numFmtId="0" fontId="22" fillId="24" borderId="13" xfId="0" applyFont="1" applyFill="1" applyBorder="1" applyAlignment="1" applyProtection="1">
      <alignment horizontal="center" vertical="center" wrapText="1"/>
      <protection locked="0"/>
    </xf>
    <xf numFmtId="0" fontId="22" fillId="24" borderId="14" xfId="0" applyFont="1" applyFill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 wrapText="1"/>
      <protection locked="0"/>
    </xf>
    <xf numFmtId="0" fontId="22" fillId="0" borderId="1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3" fillId="0" borderId="14" xfId="0" applyFont="1" applyBorder="1" applyAlignment="1">
      <alignment/>
    </xf>
    <xf numFmtId="0" fontId="22" fillId="25" borderId="17" xfId="0" applyFont="1" applyFill="1" applyBorder="1" applyAlignment="1" applyProtection="1">
      <alignment vertical="center" wrapText="1"/>
      <protection/>
    </xf>
    <xf numFmtId="164" fontId="22" fillId="26" borderId="18" xfId="0" applyNumberFormat="1" applyFont="1" applyFill="1" applyBorder="1" applyAlignment="1" applyProtection="1">
      <alignment vertical="center"/>
      <protection/>
    </xf>
    <xf numFmtId="164" fontId="22" fillId="26" borderId="19" xfId="0" applyNumberFormat="1" applyFont="1" applyFill="1" applyBorder="1" applyAlignment="1" applyProtection="1">
      <alignment vertical="center"/>
      <protection/>
    </xf>
    <xf numFmtId="164" fontId="22" fillId="26" borderId="14" xfId="0" applyNumberFormat="1" applyFont="1" applyFill="1" applyBorder="1" applyAlignment="1" applyProtection="1">
      <alignment vertical="center"/>
      <protection/>
    </xf>
    <xf numFmtId="164" fontId="22" fillId="26" borderId="20" xfId="0" applyNumberFormat="1" applyFont="1" applyFill="1" applyBorder="1" applyAlignment="1" applyProtection="1">
      <alignment vertical="center"/>
      <protection/>
    </xf>
    <xf numFmtId="0" fontId="23" fillId="25" borderId="21" xfId="0" applyFont="1" applyFill="1" applyBorder="1" applyAlignment="1" applyProtection="1">
      <alignment vertical="center" wrapText="1"/>
      <protection/>
    </xf>
    <xf numFmtId="164" fontId="23" fillId="27" borderId="22" xfId="0" applyNumberFormat="1" applyFont="1" applyFill="1" applyBorder="1" applyAlignment="1" applyProtection="1">
      <alignment vertical="center" wrapText="1"/>
      <protection locked="0"/>
    </xf>
    <xf numFmtId="164" fontId="23" fillId="27" borderId="23" xfId="0" applyNumberFormat="1" applyFont="1" applyFill="1" applyBorder="1" applyAlignment="1" applyProtection="1">
      <alignment vertical="center"/>
      <protection locked="0"/>
    </xf>
    <xf numFmtId="165" fontId="23" fillId="27" borderId="24" xfId="0" applyNumberFormat="1" applyFont="1" applyFill="1" applyBorder="1" applyAlignment="1" applyProtection="1">
      <alignment vertical="center"/>
      <protection locked="0"/>
    </xf>
    <xf numFmtId="165" fontId="23" fillId="27" borderId="25" xfId="0" applyNumberFormat="1" applyFont="1" applyFill="1" applyBorder="1" applyAlignment="1" applyProtection="1">
      <alignment vertical="center"/>
      <protection locked="0"/>
    </xf>
    <xf numFmtId="164" fontId="23" fillId="27" borderId="14" xfId="0" applyNumberFormat="1" applyFont="1" applyFill="1" applyBorder="1" applyAlignment="1" applyProtection="1">
      <alignment vertical="center"/>
      <protection locked="0"/>
    </xf>
    <xf numFmtId="164" fontId="23" fillId="27" borderId="22" xfId="0" applyNumberFormat="1" applyFont="1" applyFill="1" applyBorder="1" applyAlignment="1" applyProtection="1">
      <alignment vertical="center"/>
      <protection locked="0"/>
    </xf>
    <xf numFmtId="4" fontId="23" fillId="27" borderId="26" xfId="0" applyNumberFormat="1" applyFont="1" applyFill="1" applyBorder="1" applyAlignment="1" applyProtection="1">
      <alignment vertical="center"/>
      <protection locked="0"/>
    </xf>
    <xf numFmtId="4" fontId="23" fillId="0" borderId="14" xfId="0" applyNumberFormat="1" applyFont="1" applyBorder="1" applyAlignment="1">
      <alignment/>
    </xf>
    <xf numFmtId="4" fontId="23" fillId="0" borderId="16" xfId="0" applyNumberFormat="1" applyFont="1" applyBorder="1" applyAlignment="1">
      <alignment/>
    </xf>
    <xf numFmtId="0" fontId="23" fillId="25" borderId="27" xfId="0" applyFont="1" applyFill="1" applyBorder="1" applyAlignment="1" applyProtection="1">
      <alignment vertical="center" wrapText="1"/>
      <protection/>
    </xf>
    <xf numFmtId="164" fontId="23" fillId="27" borderId="28" xfId="0" applyNumberFormat="1" applyFont="1" applyFill="1" applyBorder="1" applyAlignment="1" applyProtection="1">
      <alignment vertical="center" wrapText="1"/>
      <protection locked="0"/>
    </xf>
    <xf numFmtId="164" fontId="23" fillId="27" borderId="29" xfId="0" applyNumberFormat="1" applyFont="1" applyFill="1" applyBorder="1" applyAlignment="1" applyProtection="1">
      <alignment vertical="center"/>
      <protection locked="0"/>
    </xf>
    <xf numFmtId="165" fontId="23" fillId="27" borderId="14" xfId="0" applyNumberFormat="1" applyFont="1" applyFill="1" applyBorder="1" applyAlignment="1" applyProtection="1">
      <alignment vertical="center"/>
      <protection locked="0"/>
    </xf>
    <xf numFmtId="165" fontId="23" fillId="27" borderId="16" xfId="0" applyNumberFormat="1" applyFont="1" applyFill="1" applyBorder="1" applyAlignment="1" applyProtection="1">
      <alignment vertical="center"/>
      <protection locked="0"/>
    </xf>
    <xf numFmtId="164" fontId="23" fillId="27" borderId="28" xfId="0" applyNumberFormat="1" applyFont="1" applyFill="1" applyBorder="1" applyAlignment="1" applyProtection="1">
      <alignment vertical="center"/>
      <protection locked="0"/>
    </xf>
    <xf numFmtId="164" fontId="23" fillId="27" borderId="30" xfId="0" applyNumberFormat="1" applyFont="1" applyFill="1" applyBorder="1" applyAlignment="1" applyProtection="1">
      <alignment vertical="center"/>
      <protection locked="0"/>
    </xf>
    <xf numFmtId="4" fontId="23" fillId="27" borderId="29" xfId="0" applyNumberFormat="1" applyFont="1" applyFill="1" applyBorder="1" applyAlignment="1" applyProtection="1">
      <alignment vertical="center"/>
      <protection locked="0"/>
    </xf>
    <xf numFmtId="0" fontId="23" fillId="25" borderId="31" xfId="0" applyFont="1" applyFill="1" applyBorder="1" applyAlignment="1" applyProtection="1">
      <alignment vertical="center" wrapText="1"/>
      <protection/>
    </xf>
    <xf numFmtId="164" fontId="23" fillId="27" borderId="32" xfId="0" applyNumberFormat="1" applyFont="1" applyFill="1" applyBorder="1" applyAlignment="1" applyProtection="1">
      <alignment vertical="center" wrapText="1"/>
      <protection locked="0"/>
    </xf>
    <xf numFmtId="164" fontId="23" fillId="27" borderId="33" xfId="0" applyNumberFormat="1" applyFont="1" applyFill="1" applyBorder="1" applyAlignment="1" applyProtection="1">
      <alignment vertical="center"/>
      <protection locked="0"/>
    </xf>
    <xf numFmtId="164" fontId="23" fillId="27" borderId="34" xfId="0" applyNumberFormat="1" applyFont="1" applyFill="1" applyBorder="1" applyAlignment="1" applyProtection="1">
      <alignment vertical="center"/>
      <protection locked="0"/>
    </xf>
    <xf numFmtId="164" fontId="23" fillId="27" borderId="35" xfId="0" applyNumberFormat="1" applyFont="1" applyFill="1" applyBorder="1" applyAlignment="1" applyProtection="1">
      <alignment vertical="center"/>
      <protection locked="0"/>
    </xf>
    <xf numFmtId="164" fontId="23" fillId="27" borderId="32" xfId="0" applyNumberFormat="1" applyFont="1" applyFill="1" applyBorder="1" applyAlignment="1" applyProtection="1">
      <alignment vertical="center"/>
      <protection locked="0"/>
    </xf>
    <xf numFmtId="164" fontId="24" fillId="27" borderId="33" xfId="0" applyNumberFormat="1" applyFont="1" applyFill="1" applyBorder="1" applyAlignment="1" applyProtection="1">
      <alignment vertical="center"/>
      <protection locked="0"/>
    </xf>
    <xf numFmtId="164" fontId="23" fillId="27" borderId="36" xfId="0" applyNumberFormat="1" applyFont="1" applyFill="1" applyBorder="1" applyAlignment="1" applyProtection="1">
      <alignment vertical="center"/>
      <protection locked="0"/>
    </xf>
    <xf numFmtId="164" fontId="23" fillId="27" borderId="26" xfId="0" applyNumberFormat="1" applyFont="1" applyFill="1" applyBorder="1" applyAlignment="1" applyProtection="1">
      <alignment vertical="center"/>
      <protection locked="0"/>
    </xf>
    <xf numFmtId="164" fontId="23" fillId="27" borderId="37" xfId="0" applyNumberFormat="1" applyFont="1" applyFill="1" applyBorder="1" applyAlignment="1" applyProtection="1">
      <alignment vertical="center"/>
      <protection locked="0"/>
    </xf>
    <xf numFmtId="0" fontId="22" fillId="25" borderId="38" xfId="0" applyFont="1" applyFill="1" applyBorder="1" applyAlignment="1" applyProtection="1">
      <alignment vertical="center" wrapText="1"/>
      <protection/>
    </xf>
    <xf numFmtId="164" fontId="22" fillId="26" borderId="39" xfId="0" applyNumberFormat="1" applyFont="1" applyFill="1" applyBorder="1" applyAlignment="1" applyProtection="1">
      <alignment vertical="center"/>
      <protection/>
    </xf>
    <xf numFmtId="164" fontId="22" fillId="26" borderId="40" xfId="0" applyNumberFormat="1" applyFont="1" applyFill="1" applyBorder="1" applyAlignment="1" applyProtection="1">
      <alignment vertical="center"/>
      <protection/>
    </xf>
    <xf numFmtId="164" fontId="22" fillId="26" borderId="41" xfId="0" applyNumberFormat="1" applyFont="1" applyFill="1" applyBorder="1" applyAlignment="1" applyProtection="1">
      <alignment vertical="center"/>
      <protection/>
    </xf>
    <xf numFmtId="0" fontId="22" fillId="25" borderId="42" xfId="0" applyFont="1" applyFill="1" applyBorder="1" applyAlignment="1" applyProtection="1">
      <alignment vertical="center" wrapText="1"/>
      <protection/>
    </xf>
    <xf numFmtId="164" fontId="22" fillId="26" borderId="43" xfId="0" applyNumberFormat="1" applyFont="1" applyFill="1" applyBorder="1" applyAlignment="1" applyProtection="1">
      <alignment vertical="center"/>
      <protection/>
    </xf>
    <xf numFmtId="164" fontId="22" fillId="26" borderId="44" xfId="0" applyNumberFormat="1" applyFont="1" applyFill="1" applyBorder="1" applyAlignment="1" applyProtection="1">
      <alignment vertical="center"/>
      <protection/>
    </xf>
    <xf numFmtId="164" fontId="22" fillId="26" borderId="45" xfId="0" applyNumberFormat="1" applyFont="1" applyFill="1" applyBorder="1" applyAlignment="1" applyProtection="1">
      <alignment vertical="center"/>
      <protection/>
    </xf>
    <xf numFmtId="0" fontId="22" fillId="25" borderId="21" xfId="0" applyFont="1" applyFill="1" applyBorder="1" applyAlignment="1" applyProtection="1">
      <alignment vertical="center" wrapText="1"/>
      <protection/>
    </xf>
    <xf numFmtId="164" fontId="22" fillId="26" borderId="23" xfId="0" applyNumberFormat="1" applyFont="1" applyFill="1" applyBorder="1" applyAlignment="1" applyProtection="1">
      <alignment vertical="center"/>
      <protection/>
    </xf>
    <xf numFmtId="164" fontId="22" fillId="26" borderId="26" xfId="0" applyNumberFormat="1" applyFont="1" applyFill="1" applyBorder="1" applyAlignment="1" applyProtection="1">
      <alignment vertical="center"/>
      <protection/>
    </xf>
    <xf numFmtId="164" fontId="22" fillId="26" borderId="22" xfId="0" applyNumberFormat="1" applyFont="1" applyFill="1" applyBorder="1" applyAlignment="1" applyProtection="1">
      <alignment vertical="center"/>
      <protection/>
    </xf>
    <xf numFmtId="164" fontId="22" fillId="27" borderId="30" xfId="0" applyNumberFormat="1" applyFont="1" applyFill="1" applyBorder="1" applyAlignment="1" applyProtection="1">
      <alignment vertical="center"/>
      <protection locked="0"/>
    </xf>
    <xf numFmtId="0" fontId="23" fillId="0" borderId="16" xfId="0" applyFont="1" applyBorder="1" applyAlignment="1">
      <alignment/>
    </xf>
    <xf numFmtId="164" fontId="25" fillId="27" borderId="30" xfId="0" applyNumberFormat="1" applyFont="1" applyFill="1" applyBorder="1" applyAlignment="1" applyProtection="1">
      <alignment vertical="center"/>
      <protection locked="0"/>
    </xf>
    <xf numFmtId="164" fontId="23" fillId="27" borderId="46" xfId="0" applyNumberFormat="1" applyFont="1" applyFill="1" applyBorder="1" applyAlignment="1" applyProtection="1">
      <alignment vertical="center"/>
      <protection locked="0"/>
    </xf>
    <xf numFmtId="164" fontId="23" fillId="27" borderId="47" xfId="0" applyNumberFormat="1" applyFont="1" applyFill="1" applyBorder="1" applyAlignment="1" applyProtection="1">
      <alignment vertical="center"/>
      <protection locked="0"/>
    </xf>
    <xf numFmtId="0" fontId="23" fillId="0" borderId="48" xfId="0" applyFont="1" applyBorder="1" applyAlignment="1">
      <alignment/>
    </xf>
    <xf numFmtId="4" fontId="23" fillId="0" borderId="49" xfId="0" applyNumberFormat="1" applyFont="1" applyBorder="1" applyAlignment="1">
      <alignment/>
    </xf>
    <xf numFmtId="0" fontId="23" fillId="25" borderId="50" xfId="0" applyFont="1" applyFill="1" applyBorder="1" applyAlignment="1" applyProtection="1">
      <alignment vertical="center" wrapText="1"/>
      <protection/>
    </xf>
    <xf numFmtId="164" fontId="23" fillId="27" borderId="46" xfId="0" applyNumberFormat="1" applyFont="1" applyFill="1" applyBorder="1" applyAlignment="1" applyProtection="1">
      <alignment vertical="center" wrapText="1"/>
      <protection locked="0"/>
    </xf>
    <xf numFmtId="164" fontId="23" fillId="27" borderId="51" xfId="0" applyNumberFormat="1" applyFont="1" applyFill="1" applyBorder="1" applyAlignment="1" applyProtection="1">
      <alignment vertical="center"/>
      <protection locked="0"/>
    </xf>
    <xf numFmtId="164" fontId="23" fillId="27" borderId="52" xfId="0" applyNumberFormat="1" applyFont="1" applyFill="1" applyBorder="1" applyAlignment="1" applyProtection="1">
      <alignment vertical="center"/>
      <protection locked="0"/>
    </xf>
    <xf numFmtId="164" fontId="23" fillId="27" borderId="25" xfId="0" applyNumberFormat="1" applyFont="1" applyFill="1" applyBorder="1" applyAlignment="1" applyProtection="1">
      <alignment vertical="center"/>
      <protection locked="0"/>
    </xf>
    <xf numFmtId="0" fontId="23" fillId="0" borderId="53" xfId="0" applyFont="1" applyBorder="1" applyAlignment="1">
      <alignment/>
    </xf>
    <xf numFmtId="4" fontId="23" fillId="27" borderId="54" xfId="0" applyNumberFormat="1" applyFont="1" applyFill="1" applyBorder="1" applyAlignment="1" applyProtection="1">
      <alignment vertical="center"/>
      <protection locked="0"/>
    </xf>
    <xf numFmtId="4" fontId="23" fillId="27" borderId="55" xfId="0" applyNumberFormat="1" applyFont="1" applyFill="1" applyBorder="1" applyAlignment="1" applyProtection="1">
      <alignment vertical="center"/>
      <protection locked="0"/>
    </xf>
    <xf numFmtId="4" fontId="24" fillId="0" borderId="14" xfId="0" applyNumberFormat="1" applyFont="1" applyBorder="1" applyAlignment="1">
      <alignment/>
    </xf>
    <xf numFmtId="4" fontId="24" fillId="0" borderId="0" xfId="0" applyNumberFormat="1" applyFont="1" applyAlignment="1">
      <alignment/>
    </xf>
    <xf numFmtId="164" fontId="22" fillId="0" borderId="14" xfId="0" applyNumberFormat="1" applyFont="1" applyBorder="1" applyAlignment="1">
      <alignment/>
    </xf>
    <xf numFmtId="0" fontId="22" fillId="25" borderId="56" xfId="0" applyFont="1" applyFill="1" applyBorder="1" applyAlignment="1" applyProtection="1">
      <alignment vertical="center" wrapText="1"/>
      <protection/>
    </xf>
    <xf numFmtId="164" fontId="22" fillId="26" borderId="57" xfId="0" applyNumberFormat="1" applyFont="1" applyFill="1" applyBorder="1" applyAlignment="1" applyProtection="1">
      <alignment vertical="center" wrapText="1"/>
      <protection locked="0"/>
    </xf>
    <xf numFmtId="164" fontId="23" fillId="26" borderId="58" xfId="0" applyNumberFormat="1" applyFont="1" applyFill="1" applyBorder="1" applyAlignment="1" applyProtection="1">
      <alignment vertical="center"/>
      <protection locked="0"/>
    </xf>
    <xf numFmtId="164" fontId="23" fillId="26" borderId="59" xfId="0" applyNumberFormat="1" applyFont="1" applyFill="1" applyBorder="1" applyAlignment="1" applyProtection="1">
      <alignment vertical="center"/>
      <protection locked="0"/>
    </xf>
    <xf numFmtId="164" fontId="23" fillId="26" borderId="14" xfId="0" applyNumberFormat="1" applyFont="1" applyFill="1" applyBorder="1" applyAlignment="1" applyProtection="1">
      <alignment vertical="center"/>
      <protection locked="0"/>
    </xf>
    <xf numFmtId="164" fontId="23" fillId="26" borderId="57" xfId="0" applyNumberFormat="1" applyFont="1" applyFill="1" applyBorder="1" applyAlignment="1" applyProtection="1">
      <alignment vertical="center"/>
      <protection locked="0"/>
    </xf>
    <xf numFmtId="164" fontId="22" fillId="26" borderId="20" xfId="0" applyNumberFormat="1" applyFont="1" applyFill="1" applyBorder="1" applyAlignment="1" applyProtection="1">
      <alignment vertical="center" wrapText="1"/>
      <protection locked="0"/>
    </xf>
    <xf numFmtId="164" fontId="22" fillId="26" borderId="60" xfId="0" applyNumberFormat="1" applyFont="1" applyFill="1" applyBorder="1" applyAlignment="1" applyProtection="1">
      <alignment vertical="center" wrapText="1"/>
      <protection locked="0"/>
    </xf>
    <xf numFmtId="164" fontId="22" fillId="26" borderId="14" xfId="0" applyNumberFormat="1" applyFont="1" applyFill="1" applyBorder="1" applyAlignment="1" applyProtection="1">
      <alignment vertical="center" wrapText="1"/>
      <protection locked="0"/>
    </xf>
    <xf numFmtId="164" fontId="23" fillId="26" borderId="22" xfId="0" applyNumberFormat="1" applyFont="1" applyFill="1" applyBorder="1" applyAlignment="1" applyProtection="1">
      <alignment vertical="center" wrapText="1"/>
      <protection locked="0"/>
    </xf>
    <xf numFmtId="164" fontId="23" fillId="26" borderId="23" xfId="0" applyNumberFormat="1" applyFont="1" applyFill="1" applyBorder="1" applyAlignment="1" applyProtection="1">
      <alignment vertical="center"/>
      <protection locked="0"/>
    </xf>
    <xf numFmtId="164" fontId="23" fillId="26" borderId="26" xfId="0" applyNumberFormat="1" applyFont="1" applyFill="1" applyBorder="1" applyAlignment="1" applyProtection="1">
      <alignment vertical="center"/>
      <protection locked="0"/>
    </xf>
    <xf numFmtId="164" fontId="23" fillId="26" borderId="22" xfId="0" applyNumberFormat="1" applyFont="1" applyFill="1" applyBorder="1" applyAlignment="1" applyProtection="1">
      <alignment vertical="center"/>
      <protection locked="0"/>
    </xf>
    <xf numFmtId="4" fontId="23" fillId="26" borderId="26" xfId="0" applyNumberFormat="1" applyFont="1" applyFill="1" applyBorder="1" applyAlignment="1" applyProtection="1">
      <alignment vertical="center"/>
      <protection locked="0"/>
    </xf>
    <xf numFmtId="164" fontId="23" fillId="0" borderId="14" xfId="0" applyNumberFormat="1" applyFont="1" applyBorder="1" applyAlignment="1">
      <alignment/>
    </xf>
    <xf numFmtId="164" fontId="23" fillId="26" borderId="46" xfId="0" applyNumberFormat="1" applyFont="1" applyFill="1" applyBorder="1" applyAlignment="1" applyProtection="1">
      <alignment vertical="center" wrapText="1"/>
      <protection locked="0"/>
    </xf>
    <xf numFmtId="164" fontId="23" fillId="26" borderId="47" xfId="0" applyNumberFormat="1" applyFont="1" applyFill="1" applyBorder="1" applyAlignment="1" applyProtection="1">
      <alignment vertical="center"/>
      <protection locked="0"/>
    </xf>
    <xf numFmtId="164" fontId="23" fillId="26" borderId="37" xfId="0" applyNumberFormat="1" applyFont="1" applyFill="1" applyBorder="1" applyAlignment="1" applyProtection="1">
      <alignment vertical="center"/>
      <protection locked="0"/>
    </xf>
    <xf numFmtId="164" fontId="23" fillId="26" borderId="46" xfId="0" applyNumberFormat="1" applyFont="1" applyFill="1" applyBorder="1" applyAlignment="1" applyProtection="1">
      <alignment vertical="center"/>
      <protection locked="0"/>
    </xf>
    <xf numFmtId="164" fontId="22" fillId="26" borderId="30" xfId="0" applyNumberFormat="1" applyFont="1" applyFill="1" applyBorder="1" applyAlignment="1" applyProtection="1">
      <alignment vertical="center"/>
      <protection/>
    </xf>
    <xf numFmtId="164" fontId="22" fillId="26" borderId="29" xfId="0" applyNumberFormat="1" applyFont="1" applyFill="1" applyBorder="1" applyAlignment="1" applyProtection="1">
      <alignment vertical="center"/>
      <protection/>
    </xf>
    <xf numFmtId="164" fontId="22" fillId="26" borderId="28" xfId="0" applyNumberFormat="1" applyFont="1" applyFill="1" applyBorder="1" applyAlignment="1" applyProtection="1">
      <alignment vertical="center"/>
      <protection/>
    </xf>
    <xf numFmtId="164" fontId="23" fillId="26" borderId="32" xfId="0" applyNumberFormat="1" applyFont="1" applyFill="1" applyBorder="1" applyAlignment="1" applyProtection="1">
      <alignment vertical="center" wrapText="1"/>
      <protection locked="0"/>
    </xf>
    <xf numFmtId="164" fontId="22" fillId="26" borderId="33" xfId="0" applyNumberFormat="1" applyFont="1" applyFill="1" applyBorder="1" applyAlignment="1" applyProtection="1">
      <alignment vertical="center"/>
      <protection/>
    </xf>
    <xf numFmtId="164" fontId="22" fillId="26" borderId="36" xfId="0" applyNumberFormat="1" applyFont="1" applyFill="1" applyBorder="1" applyAlignment="1" applyProtection="1">
      <alignment vertical="center"/>
      <protection/>
    </xf>
    <xf numFmtId="164" fontId="22" fillId="26" borderId="32" xfId="0" applyNumberFormat="1" applyFont="1" applyFill="1" applyBorder="1" applyAlignment="1" applyProtection="1">
      <alignment vertical="center"/>
      <protection/>
    </xf>
    <xf numFmtId="10" fontId="22" fillId="26" borderId="39" xfId="0" applyNumberFormat="1" applyFont="1" applyFill="1" applyBorder="1" applyAlignment="1" applyProtection="1">
      <alignment vertical="center"/>
      <protection/>
    </xf>
    <xf numFmtId="10" fontId="22" fillId="26" borderId="40" xfId="0" applyNumberFormat="1" applyFont="1" applyFill="1" applyBorder="1" applyAlignment="1" applyProtection="1">
      <alignment vertical="center"/>
      <protection/>
    </xf>
    <xf numFmtId="10" fontId="22" fillId="26" borderId="14" xfId="0" applyNumberFormat="1" applyFont="1" applyFill="1" applyBorder="1" applyAlignment="1" applyProtection="1">
      <alignment vertical="center"/>
      <protection/>
    </xf>
    <xf numFmtId="10" fontId="22" fillId="26" borderId="41" xfId="0" applyNumberFormat="1" applyFont="1" applyFill="1" applyBorder="1" applyAlignment="1" applyProtection="1">
      <alignment vertical="center"/>
      <protection/>
    </xf>
    <xf numFmtId="164" fontId="23" fillId="26" borderId="23" xfId="0" applyNumberFormat="1" applyFont="1" applyFill="1" applyBorder="1" applyAlignment="1" applyProtection="1">
      <alignment vertical="center"/>
      <protection/>
    </xf>
    <xf numFmtId="164" fontId="23" fillId="26" borderId="26" xfId="0" applyNumberFormat="1" applyFont="1" applyFill="1" applyBorder="1" applyAlignment="1" applyProtection="1">
      <alignment vertical="center"/>
      <protection/>
    </xf>
    <xf numFmtId="164" fontId="23" fillId="26" borderId="14" xfId="0" applyNumberFormat="1" applyFont="1" applyFill="1" applyBorder="1" applyAlignment="1" applyProtection="1">
      <alignment vertical="center"/>
      <protection/>
    </xf>
    <xf numFmtId="164" fontId="23" fillId="26" borderId="22" xfId="0" applyNumberFormat="1" applyFont="1" applyFill="1" applyBorder="1" applyAlignment="1" applyProtection="1">
      <alignment vertical="center"/>
      <protection/>
    </xf>
    <xf numFmtId="164" fontId="23" fillId="26" borderId="30" xfId="0" applyNumberFormat="1" applyFont="1" applyFill="1" applyBorder="1" applyAlignment="1" applyProtection="1">
      <alignment vertical="center"/>
      <protection/>
    </xf>
    <xf numFmtId="164" fontId="23" fillId="26" borderId="29" xfId="0" applyNumberFormat="1" applyFont="1" applyFill="1" applyBorder="1" applyAlignment="1" applyProtection="1">
      <alignment vertical="center"/>
      <protection/>
    </xf>
    <xf numFmtId="164" fontId="23" fillId="26" borderId="28" xfId="0" applyNumberFormat="1" applyFont="1" applyFill="1" applyBorder="1" applyAlignment="1" applyProtection="1">
      <alignment vertical="center"/>
      <protection/>
    </xf>
    <xf numFmtId="164" fontId="22" fillId="26" borderId="30" xfId="0" applyNumberFormat="1" applyFont="1" applyFill="1" applyBorder="1" applyAlignment="1" applyProtection="1">
      <alignment vertical="center"/>
      <protection/>
    </xf>
    <xf numFmtId="164" fontId="0" fillId="0" borderId="0" xfId="0" applyNumberFormat="1" applyAlignment="1">
      <alignment/>
    </xf>
    <xf numFmtId="164" fontId="23" fillId="26" borderId="30" xfId="0" applyNumberFormat="1" applyFont="1" applyFill="1" applyBorder="1" applyAlignment="1" applyProtection="1">
      <alignment vertical="center"/>
      <protection locked="0"/>
    </xf>
    <xf numFmtId="164" fontId="23" fillId="26" borderId="29" xfId="0" applyNumberFormat="1" applyFont="1" applyFill="1" applyBorder="1" applyAlignment="1" applyProtection="1">
      <alignment vertical="center"/>
      <protection locked="0"/>
    </xf>
    <xf numFmtId="164" fontId="23" fillId="26" borderId="28" xfId="0" applyNumberFormat="1" applyFont="1" applyFill="1" applyBorder="1" applyAlignment="1" applyProtection="1">
      <alignment vertical="center"/>
      <protection locked="0"/>
    </xf>
    <xf numFmtId="164" fontId="23" fillId="26" borderId="33" xfId="0" applyNumberFormat="1" applyFont="1" applyFill="1" applyBorder="1" applyAlignment="1" applyProtection="1">
      <alignment vertical="center"/>
      <protection locked="0"/>
    </xf>
    <xf numFmtId="164" fontId="23" fillId="26" borderId="36" xfId="0" applyNumberFormat="1" applyFont="1" applyFill="1" applyBorder="1" applyAlignment="1" applyProtection="1">
      <alignment vertical="center"/>
      <protection locked="0"/>
    </xf>
    <xf numFmtId="164" fontId="23" fillId="26" borderId="32" xfId="0" applyNumberFormat="1" applyFont="1" applyFill="1" applyBorder="1" applyAlignment="1" applyProtection="1">
      <alignment vertical="center"/>
      <protection locked="0"/>
    </xf>
    <xf numFmtId="10" fontId="22" fillId="26" borderId="58" xfId="0" applyNumberFormat="1" applyFont="1" applyFill="1" applyBorder="1" applyAlignment="1" applyProtection="1">
      <alignment vertical="center"/>
      <protection/>
    </xf>
    <xf numFmtId="10" fontId="22" fillId="26" borderId="59" xfId="0" applyNumberFormat="1" applyFont="1" applyFill="1" applyBorder="1" applyAlignment="1" applyProtection="1">
      <alignment vertical="center"/>
      <protection/>
    </xf>
    <xf numFmtId="10" fontId="22" fillId="26" borderId="57" xfId="0" applyNumberFormat="1" applyFont="1" applyFill="1" applyBorder="1" applyAlignment="1" applyProtection="1">
      <alignment vertical="center"/>
      <protection/>
    </xf>
    <xf numFmtId="0" fontId="22" fillId="26" borderId="57" xfId="0" applyFont="1" applyFill="1" applyBorder="1" applyAlignment="1" applyProtection="1">
      <alignment horizontal="center" vertical="center" wrapText="1"/>
      <protection/>
    </xf>
    <xf numFmtId="10" fontId="22" fillId="26" borderId="58" xfId="0" applyNumberFormat="1" applyFont="1" applyFill="1" applyBorder="1" applyAlignment="1" applyProtection="1">
      <alignment horizontal="center" vertical="center"/>
      <protection/>
    </xf>
    <xf numFmtId="2" fontId="22" fillId="26" borderId="59" xfId="0" applyNumberFormat="1" applyFont="1" applyFill="1" applyBorder="1" applyAlignment="1" applyProtection="1">
      <alignment horizontal="center" vertical="center"/>
      <protection/>
    </xf>
    <xf numFmtId="2" fontId="22" fillId="26" borderId="14" xfId="0" applyNumberFormat="1" applyFont="1" applyFill="1" applyBorder="1" applyAlignment="1" applyProtection="1">
      <alignment horizontal="center" vertical="center"/>
      <protection/>
    </xf>
    <xf numFmtId="2" fontId="22" fillId="26" borderId="57" xfId="0" applyNumberFormat="1" applyFont="1" applyFill="1" applyBorder="1" applyAlignment="1" applyProtection="1">
      <alignment horizontal="center" vertical="center"/>
      <protection/>
    </xf>
    <xf numFmtId="2" fontId="22" fillId="26" borderId="58" xfId="0" applyNumberFormat="1" applyFont="1" applyFill="1" applyBorder="1" applyAlignment="1" applyProtection="1">
      <alignment horizontal="center" vertical="center"/>
      <protection/>
    </xf>
    <xf numFmtId="0" fontId="22" fillId="26" borderId="51" xfId="0" applyFont="1" applyFill="1" applyBorder="1" applyAlignment="1" applyProtection="1">
      <alignment horizontal="center" vertical="center" wrapText="1"/>
      <protection/>
    </xf>
    <xf numFmtId="10" fontId="22" fillId="26" borderId="52" xfId="0" applyNumberFormat="1" applyFont="1" applyFill="1" applyBorder="1" applyAlignment="1" applyProtection="1">
      <alignment horizontal="center" vertical="center"/>
      <protection/>
    </xf>
    <xf numFmtId="0" fontId="22" fillId="25" borderId="14" xfId="0" applyFont="1" applyFill="1" applyBorder="1" applyAlignment="1" applyProtection="1">
      <alignment vertical="center" wrapText="1"/>
      <protection/>
    </xf>
    <xf numFmtId="0" fontId="22" fillId="25" borderId="0" xfId="0" applyFont="1" applyFill="1" applyBorder="1" applyAlignment="1" applyProtection="1">
      <alignment vertical="center" wrapText="1"/>
      <protection/>
    </xf>
    <xf numFmtId="164" fontId="23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14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center"/>
    </xf>
    <xf numFmtId="2" fontId="23" fillId="0" borderId="0" xfId="0" applyNumberFormat="1" applyFont="1" applyAlignment="1">
      <alignment/>
    </xf>
    <xf numFmtId="167" fontId="23" fillId="0" borderId="0" xfId="0" applyNumberFormat="1" applyFont="1" applyAlignment="1">
      <alignment/>
    </xf>
    <xf numFmtId="2" fontId="23" fillId="0" borderId="14" xfId="0" applyNumberFormat="1" applyFont="1" applyBorder="1" applyAlignment="1">
      <alignment/>
    </xf>
    <xf numFmtId="2" fontId="22" fillId="0" borderId="0" xfId="0" applyNumberFormat="1" applyFont="1" applyAlignment="1">
      <alignment/>
    </xf>
    <xf numFmtId="2" fontId="23" fillId="0" borderId="0" xfId="0" applyNumberFormat="1" applyFont="1" applyBorder="1" applyAlignment="1">
      <alignment/>
    </xf>
    <xf numFmtId="2" fontId="25" fillId="0" borderId="14" xfId="0" applyNumberFormat="1" applyFont="1" applyBorder="1" applyAlignment="1">
      <alignment/>
    </xf>
    <xf numFmtId="2" fontId="25" fillId="0" borderId="0" xfId="0" applyNumberFormat="1" applyFont="1" applyAlignment="1">
      <alignment/>
    </xf>
    <xf numFmtId="2" fontId="22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20" fillId="0" borderId="14" xfId="0" applyFont="1" applyBorder="1" applyAlignment="1">
      <alignment/>
    </xf>
    <xf numFmtId="0" fontId="20" fillId="0" borderId="0" xfId="0" applyFont="1" applyAlignment="1">
      <alignment/>
    </xf>
    <xf numFmtId="3" fontId="23" fillId="0" borderId="0" xfId="0" applyNumberFormat="1" applyFont="1" applyAlignment="1">
      <alignment/>
    </xf>
    <xf numFmtId="164" fontId="22" fillId="26" borderId="0" xfId="0" applyNumberFormat="1" applyFont="1" applyFill="1" applyBorder="1" applyAlignment="1" applyProtection="1">
      <alignment vertical="center"/>
      <protection/>
    </xf>
    <xf numFmtId="4" fontId="22" fillId="26" borderId="14" xfId="0" applyNumberFormat="1" applyFont="1" applyFill="1" applyBorder="1" applyAlignment="1" applyProtection="1">
      <alignment vertical="center"/>
      <protection/>
    </xf>
    <xf numFmtId="4" fontId="23" fillId="27" borderId="61" xfId="0" applyNumberFormat="1" applyFont="1" applyFill="1" applyBorder="1" applyAlignment="1" applyProtection="1">
      <alignment vertical="center"/>
      <protection locked="0"/>
    </xf>
    <xf numFmtId="164" fontId="22" fillId="26" borderId="29" xfId="0" applyNumberFormat="1" applyFont="1" applyFill="1" applyBorder="1" applyAlignment="1" applyProtection="1">
      <alignment vertical="center"/>
      <protection/>
    </xf>
    <xf numFmtId="10" fontId="22" fillId="26" borderId="62" xfId="0" applyNumberFormat="1" applyFont="1" applyFill="1" applyBorder="1" applyAlignment="1" applyProtection="1">
      <alignment vertical="center"/>
      <protection/>
    </xf>
    <xf numFmtId="4" fontId="22" fillId="26" borderId="53" xfId="0" applyNumberFormat="1" applyFont="1" applyFill="1" applyBorder="1" applyAlignment="1" applyProtection="1">
      <alignment horizontal="center" vertical="center"/>
      <protection/>
    </xf>
    <xf numFmtId="164" fontId="22" fillId="26" borderId="24" xfId="0" applyNumberFormat="1" applyFont="1" applyFill="1" applyBorder="1" applyAlignment="1" applyProtection="1">
      <alignment vertical="center"/>
      <protection/>
    </xf>
    <xf numFmtId="4" fontId="23" fillId="0" borderId="53" xfId="0" applyNumberFormat="1" applyFont="1" applyBorder="1" applyAlignment="1">
      <alignment/>
    </xf>
    <xf numFmtId="2" fontId="22" fillId="26" borderId="40" xfId="0" applyNumberFormat="1" applyFont="1" applyFill="1" applyBorder="1" applyAlignment="1" applyProtection="1">
      <alignment horizontal="center" vertical="center"/>
      <protection/>
    </xf>
    <xf numFmtId="2" fontId="22" fillId="26" borderId="48" xfId="0" applyNumberFormat="1" applyFont="1" applyFill="1" applyBorder="1" applyAlignment="1" applyProtection="1">
      <alignment horizontal="center" vertical="center"/>
      <protection/>
    </xf>
    <xf numFmtId="2" fontId="22" fillId="26" borderId="41" xfId="0" applyNumberFormat="1" applyFont="1" applyFill="1" applyBorder="1" applyAlignment="1" applyProtection="1">
      <alignment horizontal="center" vertical="center"/>
      <protection/>
    </xf>
    <xf numFmtId="2" fontId="22" fillId="26" borderId="39" xfId="0" applyNumberFormat="1" applyFont="1" applyFill="1" applyBorder="1" applyAlignment="1" applyProtection="1">
      <alignment horizontal="center" vertical="center"/>
      <protection/>
    </xf>
    <xf numFmtId="0" fontId="22" fillId="25" borderId="53" xfId="0" applyFont="1" applyFill="1" applyBorder="1" applyAlignment="1" applyProtection="1">
      <alignment vertical="center" wrapText="1"/>
      <protection/>
    </xf>
    <xf numFmtId="4" fontId="22" fillId="26" borderId="53" xfId="0" applyNumberFormat="1" applyFont="1" applyFill="1" applyBorder="1" applyAlignment="1" applyProtection="1">
      <alignment horizontal="center" vertical="center" wrapText="1"/>
      <protection/>
    </xf>
    <xf numFmtId="4" fontId="22" fillId="26" borderId="63" xfId="0" applyNumberFormat="1" applyFont="1" applyFill="1" applyBorder="1" applyAlignment="1" applyProtection="1">
      <alignment horizontal="center" vertical="center"/>
      <protection/>
    </xf>
    <xf numFmtId="4" fontId="22" fillId="26" borderId="64" xfId="0" applyNumberFormat="1" applyFont="1" applyFill="1" applyBorder="1" applyAlignment="1" applyProtection="1">
      <alignment horizontal="center" vertical="center"/>
      <protection/>
    </xf>
    <xf numFmtId="10" fontId="22" fillId="26" borderId="14" xfId="0" applyNumberFormat="1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>
      <alignment wrapText="1"/>
    </xf>
    <xf numFmtId="0" fontId="22" fillId="26" borderId="49" xfId="0" applyFont="1" applyFill="1" applyBorder="1" applyAlignment="1" applyProtection="1">
      <alignment horizontal="center" vertical="center" wrapText="1"/>
      <protection/>
    </xf>
    <xf numFmtId="3" fontId="20" fillId="0" borderId="0" xfId="0" applyNumberFormat="1" applyFont="1" applyAlignment="1">
      <alignment horizontal="center"/>
    </xf>
    <xf numFmtId="3" fontId="22" fillId="0" borderId="0" xfId="0" applyNumberFormat="1" applyFont="1" applyAlignment="1">
      <alignment horizontal="center"/>
    </xf>
    <xf numFmtId="164" fontId="22" fillId="26" borderId="65" xfId="0" applyNumberFormat="1" applyFont="1" applyFill="1" applyBorder="1" applyAlignment="1" applyProtection="1">
      <alignment vertical="center"/>
      <protection/>
    </xf>
    <xf numFmtId="4" fontId="24" fillId="27" borderId="14" xfId="0" applyNumberFormat="1" applyFont="1" applyFill="1" applyBorder="1" applyAlignment="1" applyProtection="1">
      <alignment vertical="center"/>
      <protection locked="0"/>
    </xf>
    <xf numFmtId="4" fontId="23" fillId="0" borderId="0" xfId="0" applyNumberFormat="1" applyFont="1" applyAlignment="1">
      <alignment/>
    </xf>
    <xf numFmtId="4" fontId="23" fillId="27" borderId="0" xfId="0" applyNumberFormat="1" applyFont="1" applyFill="1" applyBorder="1" applyAlignment="1" applyProtection="1">
      <alignment vertical="center"/>
      <protection locked="0"/>
    </xf>
    <xf numFmtId="4" fontId="24" fillId="27" borderId="0" xfId="0" applyNumberFormat="1" applyFont="1" applyFill="1" applyBorder="1" applyAlignment="1" applyProtection="1">
      <alignment vertical="center"/>
      <protection locked="0"/>
    </xf>
    <xf numFmtId="164" fontId="23" fillId="26" borderId="66" xfId="0" applyNumberFormat="1" applyFont="1" applyFill="1" applyBorder="1" applyAlignment="1" applyProtection="1">
      <alignment vertical="center"/>
      <protection locked="0"/>
    </xf>
    <xf numFmtId="164" fontId="22" fillId="26" borderId="41" xfId="0" applyNumberFormat="1" applyFont="1" applyFill="1" applyBorder="1" applyAlignment="1" applyProtection="1">
      <alignment vertical="center" wrapText="1"/>
      <protection locked="0"/>
    </xf>
    <xf numFmtId="164" fontId="23" fillId="26" borderId="52" xfId="0" applyNumberFormat="1" applyFont="1" applyFill="1" applyBorder="1" applyAlignment="1" applyProtection="1">
      <alignment vertical="center"/>
      <protection locked="0"/>
    </xf>
    <xf numFmtId="0" fontId="23" fillId="25" borderId="67" xfId="0" applyFont="1" applyFill="1" applyBorder="1" applyAlignment="1" applyProtection="1">
      <alignment vertical="center" wrapText="1"/>
      <protection/>
    </xf>
    <xf numFmtId="0" fontId="23" fillId="25" borderId="14" xfId="0" applyFont="1" applyFill="1" applyBorder="1" applyAlignment="1" applyProtection="1">
      <alignment vertical="center" wrapText="1"/>
      <protection/>
    </xf>
    <xf numFmtId="4" fontId="23" fillId="0" borderId="68" xfId="0" applyNumberFormat="1" applyFont="1" applyFill="1" applyBorder="1" applyAlignment="1">
      <alignment/>
    </xf>
    <xf numFmtId="4" fontId="23" fillId="0" borderId="69" xfId="0" applyNumberFormat="1" applyFont="1" applyFill="1" applyBorder="1" applyAlignment="1">
      <alignment/>
    </xf>
    <xf numFmtId="164" fontId="22" fillId="26" borderId="16" xfId="0" applyNumberFormat="1" applyFont="1" applyFill="1" applyBorder="1" applyAlignment="1" applyProtection="1">
      <alignment vertical="center"/>
      <protection/>
    </xf>
    <xf numFmtId="4" fontId="26" fillId="0" borderId="16" xfId="0" applyNumberFormat="1" applyFont="1" applyBorder="1" applyAlignment="1">
      <alignment/>
    </xf>
    <xf numFmtId="164" fontId="23" fillId="0" borderId="16" xfId="0" applyNumberFormat="1" applyFont="1" applyBorder="1" applyAlignment="1">
      <alignment/>
    </xf>
    <xf numFmtId="164" fontId="22" fillId="26" borderId="51" xfId="0" applyNumberFormat="1" applyFont="1" applyFill="1" applyBorder="1" applyAlignment="1" applyProtection="1">
      <alignment vertical="center" wrapText="1"/>
      <protection locked="0"/>
    </xf>
    <xf numFmtId="164" fontId="0" fillId="0" borderId="14" xfId="0" applyNumberFormat="1" applyBorder="1" applyAlignment="1">
      <alignment/>
    </xf>
    <xf numFmtId="164" fontId="23" fillId="0" borderId="49" xfId="0" applyNumberFormat="1" applyFont="1" applyBorder="1" applyAlignment="1">
      <alignment/>
    </xf>
    <xf numFmtId="2" fontId="22" fillId="26" borderId="16" xfId="0" applyNumberFormat="1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>
      <alignment horizontal="center"/>
    </xf>
    <xf numFmtId="2" fontId="23" fillId="0" borderId="16" xfId="0" applyNumberFormat="1" applyFont="1" applyBorder="1" applyAlignment="1">
      <alignment/>
    </xf>
    <xf numFmtId="3" fontId="23" fillId="0" borderId="14" xfId="0" applyNumberFormat="1" applyFont="1" applyBorder="1" applyAlignment="1">
      <alignment/>
    </xf>
    <xf numFmtId="0" fontId="21" fillId="0" borderId="0" xfId="0" applyFont="1" applyAlignment="1">
      <alignment horizontal="left"/>
    </xf>
    <xf numFmtId="0" fontId="0" fillId="0" borderId="0" xfId="0" applyAlignment="1">
      <alignment/>
    </xf>
    <xf numFmtId="0" fontId="2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3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8"/>
  <sheetViews>
    <sheetView tabSelected="1" zoomScalePageLayoutView="0" workbookViewId="0" topLeftCell="A1">
      <selection activeCell="B1" sqref="B1:W1"/>
    </sheetView>
  </sheetViews>
  <sheetFormatPr defaultColWidth="11.57421875" defaultRowHeight="12.75"/>
  <cols>
    <col min="1" max="1" width="1.57421875" style="0" customWidth="1"/>
    <col min="2" max="2" width="22.57421875" style="0" customWidth="1"/>
    <col min="3" max="3" width="11.57421875" style="0" hidden="1" customWidth="1"/>
    <col min="4" max="4" width="11.140625" style="0" hidden="1" customWidth="1"/>
    <col min="5" max="5" width="11.8515625" style="0" hidden="1" customWidth="1"/>
    <col min="6" max="6" width="12.00390625" style="0" hidden="1" customWidth="1"/>
    <col min="7" max="8" width="12.140625" style="0" hidden="1" customWidth="1"/>
    <col min="9" max="9" width="11.140625" style="0" hidden="1" customWidth="1"/>
    <col min="10" max="10" width="11.140625" style="0" customWidth="1"/>
    <col min="11" max="11" width="11.7109375" style="0" customWidth="1"/>
    <col min="12" max="12" width="11.28125" style="0" customWidth="1"/>
    <col min="13" max="14" width="11.421875" style="0" customWidth="1"/>
    <col min="15" max="15" width="11.8515625" style="0" customWidth="1"/>
    <col min="16" max="16" width="12.28125" style="0" customWidth="1"/>
    <col min="17" max="17" width="11.57421875" style="0" customWidth="1"/>
    <col min="18" max="18" width="11.8515625" style="0" customWidth="1"/>
    <col min="19" max="19" width="11.00390625" style="0" customWidth="1"/>
    <col min="20" max="23" width="12.7109375" style="0" customWidth="1"/>
    <col min="24" max="24" width="11.8515625" style="0" customWidth="1"/>
    <col min="25" max="25" width="11.00390625" style="0" customWidth="1"/>
    <col min="26" max="26" width="12.140625" style="0" customWidth="1"/>
  </cols>
  <sheetData>
    <row r="1" spans="2:24" ht="33" customHeight="1">
      <c r="B1" s="198" t="s">
        <v>105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"/>
    </row>
    <row r="2" spans="2:21" ht="27" customHeight="1">
      <c r="B2" s="196" t="s">
        <v>97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7"/>
      <c r="P2" s="197"/>
      <c r="Q2" s="197"/>
      <c r="R2" s="197"/>
      <c r="S2" s="200"/>
      <c r="T2" s="200"/>
      <c r="U2" s="200"/>
    </row>
    <row r="3" ht="13.5" thickBot="1"/>
    <row r="4" spans="2:24" ht="48.75" customHeight="1" thickBot="1" thickTop="1">
      <c r="B4" s="2" t="s">
        <v>0</v>
      </c>
      <c r="C4" s="3" t="s">
        <v>1</v>
      </c>
      <c r="D4" s="4" t="s">
        <v>2</v>
      </c>
      <c r="E4" s="4" t="s">
        <v>3</v>
      </c>
      <c r="F4" s="5" t="s">
        <v>4</v>
      </c>
      <c r="G4" s="6" t="s">
        <v>5</v>
      </c>
      <c r="H4" s="6" t="s">
        <v>6</v>
      </c>
      <c r="I4" s="7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5" t="s">
        <v>12</v>
      </c>
      <c r="O4" s="8" t="s">
        <v>13</v>
      </c>
      <c r="P4" s="8" t="s">
        <v>14</v>
      </c>
      <c r="Q4" s="8" t="s">
        <v>15</v>
      </c>
      <c r="R4" s="9" t="s">
        <v>16</v>
      </c>
      <c r="S4" s="8" t="s">
        <v>17</v>
      </c>
      <c r="T4" s="8" t="s">
        <v>18</v>
      </c>
      <c r="U4" s="8" t="s">
        <v>95</v>
      </c>
      <c r="V4" s="8" t="s">
        <v>96</v>
      </c>
      <c r="W4" s="8" t="s">
        <v>98</v>
      </c>
      <c r="X4" s="8" t="s">
        <v>104</v>
      </c>
    </row>
    <row r="5" spans="2:24" ht="30.75" customHeight="1" thickBot="1">
      <c r="B5" s="11" t="s">
        <v>19</v>
      </c>
      <c r="C5" s="12">
        <f aca="true" t="shared" si="0" ref="C5:X5">C6+C7</f>
        <v>22073023.2</v>
      </c>
      <c r="D5" s="12">
        <f t="shared" si="0"/>
        <v>20253758.83</v>
      </c>
      <c r="E5" s="12">
        <f t="shared" si="0"/>
        <v>19890707.900000002</v>
      </c>
      <c r="F5" s="13">
        <f t="shared" si="0"/>
        <v>24057035.43</v>
      </c>
      <c r="G5" s="14">
        <f t="shared" si="0"/>
        <v>21039445.759999998</v>
      </c>
      <c r="H5" s="14">
        <f t="shared" si="0"/>
        <v>23045270.3</v>
      </c>
      <c r="I5" s="15">
        <f t="shared" si="0"/>
        <v>22366629.3</v>
      </c>
      <c r="J5" s="12">
        <f t="shared" si="0"/>
        <v>22373842.27</v>
      </c>
      <c r="K5" s="12">
        <f t="shared" si="0"/>
        <v>25625699.53</v>
      </c>
      <c r="L5" s="12">
        <f t="shared" si="0"/>
        <v>29720000</v>
      </c>
      <c r="M5" s="12">
        <f t="shared" si="0"/>
        <v>28800000</v>
      </c>
      <c r="N5" s="13">
        <f t="shared" si="0"/>
        <v>27000000</v>
      </c>
      <c r="O5" s="13">
        <f t="shared" si="0"/>
        <v>24000000</v>
      </c>
      <c r="P5" s="13">
        <f t="shared" si="0"/>
        <v>22850000</v>
      </c>
      <c r="Q5" s="13">
        <f t="shared" si="0"/>
        <v>22900000</v>
      </c>
      <c r="R5" s="13">
        <f t="shared" si="0"/>
        <v>22700000</v>
      </c>
      <c r="S5" s="13">
        <f t="shared" si="0"/>
        <v>22800000</v>
      </c>
      <c r="T5" s="14">
        <f t="shared" si="0"/>
        <v>22800000</v>
      </c>
      <c r="U5" s="14">
        <f t="shared" si="0"/>
        <v>22600000</v>
      </c>
      <c r="V5" s="14">
        <f t="shared" si="0"/>
        <v>22500000</v>
      </c>
      <c r="W5" s="14">
        <f t="shared" si="0"/>
        <v>22500000</v>
      </c>
      <c r="X5" s="14">
        <f t="shared" si="0"/>
        <v>22500000</v>
      </c>
    </row>
    <row r="6" spans="2:24" ht="20.25" customHeight="1" thickTop="1">
      <c r="B6" s="16" t="s">
        <v>20</v>
      </c>
      <c r="C6" s="17">
        <v>17624822.75</v>
      </c>
      <c r="D6" s="18">
        <v>18995152.36</v>
      </c>
      <c r="E6" s="19">
        <v>18982366.48</v>
      </c>
      <c r="F6" s="20">
        <v>19856965.48</v>
      </c>
      <c r="G6" s="21">
        <v>19873927.02</v>
      </c>
      <c r="H6" s="21">
        <v>20176900.45</v>
      </c>
      <c r="I6" s="22">
        <v>20604291.45</v>
      </c>
      <c r="J6" s="18">
        <v>20693223.75</v>
      </c>
      <c r="K6" s="18">
        <v>22536841.69</v>
      </c>
      <c r="L6" s="18">
        <v>23520000</v>
      </c>
      <c r="M6" s="18">
        <v>24000000</v>
      </c>
      <c r="N6" s="23">
        <v>24000000</v>
      </c>
      <c r="O6" s="24">
        <v>22000000</v>
      </c>
      <c r="P6" s="24">
        <v>21450000</v>
      </c>
      <c r="Q6" s="24">
        <v>21700000</v>
      </c>
      <c r="R6" s="25">
        <v>21700000</v>
      </c>
      <c r="S6" s="24">
        <v>21800000</v>
      </c>
      <c r="T6" s="24">
        <v>21800000</v>
      </c>
      <c r="U6" s="24">
        <v>21600000</v>
      </c>
      <c r="V6" s="24">
        <v>21500000</v>
      </c>
      <c r="W6" s="24">
        <v>21500000</v>
      </c>
      <c r="X6" s="184">
        <v>21500000</v>
      </c>
    </row>
    <row r="7" spans="2:24" ht="24" customHeight="1">
      <c r="B7" s="26" t="s">
        <v>21</v>
      </c>
      <c r="C7" s="27">
        <v>4448200.45</v>
      </c>
      <c r="D7" s="28">
        <v>1258606.47</v>
      </c>
      <c r="E7" s="29">
        <v>908341.42</v>
      </c>
      <c r="F7" s="30">
        <v>4200069.95</v>
      </c>
      <c r="G7" s="21">
        <v>1165518.74</v>
      </c>
      <c r="H7" s="21">
        <v>2868369.85</v>
      </c>
      <c r="I7" s="31">
        <v>1762337.85</v>
      </c>
      <c r="J7" s="32">
        <v>1680618.52</v>
      </c>
      <c r="K7" s="32">
        <v>3088857.84</v>
      </c>
      <c r="L7" s="32">
        <v>6200000</v>
      </c>
      <c r="M7" s="32">
        <v>4800000</v>
      </c>
      <c r="N7" s="28">
        <v>3000000</v>
      </c>
      <c r="O7" s="33">
        <v>2000000</v>
      </c>
      <c r="P7" s="24">
        <v>1400000</v>
      </c>
      <c r="Q7" s="24">
        <v>1200000</v>
      </c>
      <c r="R7" s="25">
        <v>1000000</v>
      </c>
      <c r="S7" s="24">
        <v>1000000</v>
      </c>
      <c r="T7" s="24">
        <v>1000000</v>
      </c>
      <c r="U7" s="24">
        <v>1000000</v>
      </c>
      <c r="V7" s="24">
        <v>1000000</v>
      </c>
      <c r="W7" s="24">
        <v>1000000</v>
      </c>
      <c r="X7" s="184">
        <v>1000000</v>
      </c>
    </row>
    <row r="8" spans="2:24" ht="26.25" customHeight="1" thickBot="1">
      <c r="B8" s="34" t="s">
        <v>22</v>
      </c>
      <c r="C8" s="35">
        <v>391709.1</v>
      </c>
      <c r="D8" s="36">
        <v>563056.43</v>
      </c>
      <c r="E8" s="37">
        <v>350817.29</v>
      </c>
      <c r="F8" s="38">
        <v>1106000</v>
      </c>
      <c r="G8" s="21">
        <v>649708.74</v>
      </c>
      <c r="H8" s="21">
        <v>534500</v>
      </c>
      <c r="I8" s="39">
        <v>534500</v>
      </c>
      <c r="J8" s="36">
        <v>567417.73</v>
      </c>
      <c r="K8" s="40">
        <v>259600</v>
      </c>
      <c r="L8" s="36">
        <v>500000</v>
      </c>
      <c r="M8" s="36">
        <v>300000</v>
      </c>
      <c r="N8" s="41">
        <v>400000</v>
      </c>
      <c r="O8" s="24">
        <v>280000</v>
      </c>
      <c r="P8" s="24">
        <v>280000</v>
      </c>
      <c r="Q8" s="24">
        <v>280000</v>
      </c>
      <c r="R8" s="25">
        <v>300000</v>
      </c>
      <c r="S8" s="24">
        <v>300000</v>
      </c>
      <c r="T8" s="24">
        <v>350000</v>
      </c>
      <c r="U8" s="24">
        <v>350000</v>
      </c>
      <c r="V8" s="24">
        <v>350000</v>
      </c>
      <c r="W8" s="24">
        <v>350000</v>
      </c>
      <c r="X8" s="184">
        <v>350000</v>
      </c>
    </row>
    <row r="9" spans="2:24" ht="25.5" customHeight="1" thickBot="1">
      <c r="B9" s="11" t="s">
        <v>23</v>
      </c>
      <c r="C9" s="12">
        <f aca="true" t="shared" si="1" ref="C9:X9">C10+C11</f>
        <v>22409621.75</v>
      </c>
      <c r="D9" s="12">
        <f t="shared" si="1"/>
        <v>23897881.060000002</v>
      </c>
      <c r="E9" s="12">
        <f t="shared" si="1"/>
        <v>24141370.96</v>
      </c>
      <c r="F9" s="13">
        <f t="shared" si="1"/>
        <v>28317914.01</v>
      </c>
      <c r="G9" s="14">
        <f t="shared" si="1"/>
        <v>24768945.13</v>
      </c>
      <c r="H9" s="14">
        <f t="shared" si="1"/>
        <v>25647930.07</v>
      </c>
      <c r="I9" s="15">
        <f t="shared" si="1"/>
        <v>24289943.32</v>
      </c>
      <c r="J9" s="12">
        <f t="shared" si="1"/>
        <v>23447759.16</v>
      </c>
      <c r="K9" s="12">
        <f t="shared" si="1"/>
        <v>29764326.139999997</v>
      </c>
      <c r="L9" s="12">
        <f t="shared" si="1"/>
        <v>28620188.16</v>
      </c>
      <c r="M9" s="12">
        <f t="shared" si="1"/>
        <v>27218216</v>
      </c>
      <c r="N9" s="13">
        <f t="shared" si="1"/>
        <v>24900000</v>
      </c>
      <c r="O9" s="13">
        <f t="shared" si="1"/>
        <v>21800000</v>
      </c>
      <c r="P9" s="13">
        <f t="shared" si="1"/>
        <v>20588000</v>
      </c>
      <c r="Q9" s="13">
        <f t="shared" si="1"/>
        <v>20949000</v>
      </c>
      <c r="R9" s="13">
        <f t="shared" si="1"/>
        <v>20900000</v>
      </c>
      <c r="S9" s="14">
        <f t="shared" si="1"/>
        <v>21050000</v>
      </c>
      <c r="T9" s="14">
        <f t="shared" si="1"/>
        <v>21300000</v>
      </c>
      <c r="U9" s="14">
        <f t="shared" si="1"/>
        <v>21380000</v>
      </c>
      <c r="V9" s="14">
        <f t="shared" si="1"/>
        <v>21450000</v>
      </c>
      <c r="W9" s="154">
        <f t="shared" si="1"/>
        <v>22169348.11</v>
      </c>
      <c r="X9" s="154">
        <f t="shared" si="1"/>
        <v>21800000</v>
      </c>
    </row>
    <row r="10" spans="2:24" ht="21" customHeight="1" thickTop="1">
      <c r="B10" s="16" t="s">
        <v>24</v>
      </c>
      <c r="C10" s="17">
        <v>16068969.17</v>
      </c>
      <c r="D10" s="18">
        <v>17532283.87</v>
      </c>
      <c r="E10" s="18">
        <v>18157841.16</v>
      </c>
      <c r="F10" s="42">
        <v>20356255.14</v>
      </c>
      <c r="G10" s="21">
        <v>20778336.38</v>
      </c>
      <c r="H10" s="21">
        <v>20172834.45</v>
      </c>
      <c r="I10" s="22">
        <v>20383294.45</v>
      </c>
      <c r="J10" s="18">
        <v>20367509.72</v>
      </c>
      <c r="K10" s="18">
        <v>22288689.58</v>
      </c>
      <c r="L10" s="18">
        <v>21620188.16</v>
      </c>
      <c r="M10" s="18">
        <v>22003216</v>
      </c>
      <c r="N10" s="42">
        <v>20532000</v>
      </c>
      <c r="O10" s="24">
        <v>19500000</v>
      </c>
      <c r="P10" s="24">
        <v>18843000</v>
      </c>
      <c r="Q10" s="24">
        <v>19200000</v>
      </c>
      <c r="R10" s="25">
        <v>19200000</v>
      </c>
      <c r="S10" s="24">
        <v>19500000</v>
      </c>
      <c r="T10" s="24">
        <v>19500000</v>
      </c>
      <c r="U10" s="24">
        <v>19500000</v>
      </c>
      <c r="V10" s="24">
        <v>19550000</v>
      </c>
      <c r="W10" s="24">
        <v>20369348.11</v>
      </c>
      <c r="X10" s="185">
        <v>20000000</v>
      </c>
    </row>
    <row r="11" spans="2:24" ht="22.5" customHeight="1" thickBot="1">
      <c r="B11" s="34" t="s">
        <v>25</v>
      </c>
      <c r="C11" s="35">
        <v>6340652.58</v>
      </c>
      <c r="D11" s="36">
        <v>6365597.19</v>
      </c>
      <c r="E11" s="32">
        <v>5983529.8</v>
      </c>
      <c r="F11" s="43">
        <v>7961658.87</v>
      </c>
      <c r="G11" s="21">
        <v>3990608.75</v>
      </c>
      <c r="H11" s="21">
        <v>5475095.62</v>
      </c>
      <c r="I11" s="39">
        <v>3906648.87</v>
      </c>
      <c r="J11" s="36">
        <v>3080249.44</v>
      </c>
      <c r="K11" s="36">
        <v>7475636.56</v>
      </c>
      <c r="L11" s="36">
        <v>7000000</v>
      </c>
      <c r="M11" s="36">
        <v>5215000</v>
      </c>
      <c r="N11" s="41">
        <v>4368000</v>
      </c>
      <c r="O11" s="24">
        <v>2300000</v>
      </c>
      <c r="P11" s="24">
        <v>1745000</v>
      </c>
      <c r="Q11" s="24">
        <v>1749000</v>
      </c>
      <c r="R11" s="25">
        <v>1700000</v>
      </c>
      <c r="S11" s="24">
        <v>1550000</v>
      </c>
      <c r="T11" s="24">
        <v>1800000</v>
      </c>
      <c r="U11" s="24">
        <v>1880000</v>
      </c>
      <c r="V11" s="24">
        <v>1900000</v>
      </c>
      <c r="W11" s="24">
        <v>1800000</v>
      </c>
      <c r="X11" s="185">
        <v>1800000</v>
      </c>
    </row>
    <row r="12" spans="2:24" ht="25.5" customHeight="1" thickBot="1">
      <c r="B12" s="44" t="s">
        <v>26</v>
      </c>
      <c r="C12" s="45">
        <f aca="true" t="shared" si="2" ref="C12:X12">C5-C9</f>
        <v>-336598.55000000075</v>
      </c>
      <c r="D12" s="45">
        <f t="shared" si="2"/>
        <v>-3644122.230000004</v>
      </c>
      <c r="E12" s="45">
        <f t="shared" si="2"/>
        <v>-4250663.059999999</v>
      </c>
      <c r="F12" s="46">
        <f t="shared" si="2"/>
        <v>-4260878.580000002</v>
      </c>
      <c r="G12" s="14">
        <f t="shared" si="2"/>
        <v>-3729499.370000001</v>
      </c>
      <c r="H12" s="14">
        <f t="shared" si="2"/>
        <v>-2602659.7699999996</v>
      </c>
      <c r="I12" s="47">
        <f t="shared" si="2"/>
        <v>-1923314.0199999996</v>
      </c>
      <c r="J12" s="45">
        <f t="shared" si="2"/>
        <v>-1073916.8900000006</v>
      </c>
      <c r="K12" s="45">
        <f t="shared" si="2"/>
        <v>-4138626.6099999957</v>
      </c>
      <c r="L12" s="45">
        <f t="shared" si="2"/>
        <v>1099811.8399999999</v>
      </c>
      <c r="M12" s="45">
        <f t="shared" si="2"/>
        <v>1581784</v>
      </c>
      <c r="N12" s="46">
        <f t="shared" si="2"/>
        <v>2100000</v>
      </c>
      <c r="O12" s="46">
        <f t="shared" si="2"/>
        <v>2200000</v>
      </c>
      <c r="P12" s="46">
        <f t="shared" si="2"/>
        <v>2262000</v>
      </c>
      <c r="Q12" s="46">
        <f t="shared" si="2"/>
        <v>1951000</v>
      </c>
      <c r="R12" s="46">
        <f t="shared" si="2"/>
        <v>1800000</v>
      </c>
      <c r="S12" s="14">
        <f t="shared" si="2"/>
        <v>1750000</v>
      </c>
      <c r="T12" s="14">
        <f t="shared" si="2"/>
        <v>1500000</v>
      </c>
      <c r="U12" s="14">
        <f t="shared" si="2"/>
        <v>1220000</v>
      </c>
      <c r="V12" s="14">
        <f t="shared" si="2"/>
        <v>1050000</v>
      </c>
      <c r="W12" s="186">
        <f t="shared" si="2"/>
        <v>330651.8900000006</v>
      </c>
      <c r="X12" s="14">
        <f t="shared" si="2"/>
        <v>700000</v>
      </c>
    </row>
    <row r="13" spans="2:24" ht="21" customHeight="1" thickBot="1" thickTop="1">
      <c r="B13" s="48" t="s">
        <v>27</v>
      </c>
      <c r="C13" s="49">
        <f aca="true" t="shared" si="3" ref="C13:X13">C14-C24</f>
        <v>974848.5600000005</v>
      </c>
      <c r="D13" s="49">
        <f t="shared" si="3"/>
        <v>4548260.890000001</v>
      </c>
      <c r="E13" s="49">
        <f t="shared" si="3"/>
        <v>4264539.380000001</v>
      </c>
      <c r="F13" s="50">
        <f t="shared" si="3"/>
        <v>4260878.58</v>
      </c>
      <c r="G13" s="14">
        <f t="shared" si="3"/>
        <v>3857555.9299999997</v>
      </c>
      <c r="H13" s="14">
        <f t="shared" si="3"/>
        <v>2602659.7699999996</v>
      </c>
      <c r="I13" s="51">
        <f t="shared" si="3"/>
        <v>1923314.0199999986</v>
      </c>
      <c r="J13" s="49">
        <f t="shared" si="3"/>
        <v>965738.2199999997</v>
      </c>
      <c r="K13" s="49">
        <f t="shared" si="3"/>
        <v>4138626.6099999975</v>
      </c>
      <c r="L13" s="49">
        <f t="shared" si="3"/>
        <v>-1099811.8399999999</v>
      </c>
      <c r="M13" s="49">
        <f t="shared" si="3"/>
        <v>-1581784</v>
      </c>
      <c r="N13" s="50">
        <f t="shared" si="3"/>
        <v>-2100000</v>
      </c>
      <c r="O13" s="50">
        <f t="shared" si="3"/>
        <v>-2200000</v>
      </c>
      <c r="P13" s="50">
        <f t="shared" si="3"/>
        <v>-2262000</v>
      </c>
      <c r="Q13" s="50">
        <f t="shared" si="3"/>
        <v>-1951000</v>
      </c>
      <c r="R13" s="50">
        <f t="shared" si="3"/>
        <v>-1800000</v>
      </c>
      <c r="S13" s="14">
        <f t="shared" si="3"/>
        <v>-1750000</v>
      </c>
      <c r="T13" s="14">
        <f t="shared" si="3"/>
        <v>-1500000</v>
      </c>
      <c r="U13" s="14">
        <f t="shared" si="3"/>
        <v>-1220000</v>
      </c>
      <c r="V13" s="14">
        <f t="shared" si="3"/>
        <v>-1050000</v>
      </c>
      <c r="W13" s="186">
        <f t="shared" si="3"/>
        <v>-330651.89</v>
      </c>
      <c r="X13" s="14">
        <f t="shared" si="3"/>
        <v>0</v>
      </c>
    </row>
    <row r="14" spans="2:24" ht="26.25" customHeight="1" thickTop="1">
      <c r="B14" s="52" t="s">
        <v>28</v>
      </c>
      <c r="C14" s="53">
        <f>C15+C17+C19+C20+C21+C22+C23</f>
        <v>4981994.23</v>
      </c>
      <c r="D14" s="53">
        <f>D15+D17+D19+D20+D21+D22+D23</f>
        <v>5344932.12</v>
      </c>
      <c r="E14" s="53">
        <f>E15+E17+E19+E20+E21+E22+E23</f>
        <v>5015698.380000001</v>
      </c>
      <c r="F14" s="54">
        <f>F15+F17+F19+F20+F21+F22+F23</f>
        <v>6166838.86</v>
      </c>
      <c r="G14" s="14">
        <f aca="true" t="shared" si="4" ref="G14:W14">G15+G17+G19+G20+G21+G23+G22</f>
        <v>5529932.35</v>
      </c>
      <c r="H14" s="14">
        <f t="shared" si="4"/>
        <v>4943050.899999999</v>
      </c>
      <c r="I14" s="55">
        <f t="shared" si="4"/>
        <v>4263705.1499999985</v>
      </c>
      <c r="J14" s="53">
        <f t="shared" si="4"/>
        <v>3194916.79</v>
      </c>
      <c r="K14" s="53">
        <f t="shared" si="4"/>
        <v>6120300.179999998</v>
      </c>
      <c r="L14" s="53">
        <f t="shared" si="4"/>
        <v>1000000</v>
      </c>
      <c r="M14" s="53">
        <f t="shared" si="4"/>
        <v>0</v>
      </c>
      <c r="N14" s="53">
        <f t="shared" si="4"/>
        <v>0</v>
      </c>
      <c r="O14" s="53">
        <f t="shared" si="4"/>
        <v>0</v>
      </c>
      <c r="P14" s="53">
        <f t="shared" si="4"/>
        <v>0</v>
      </c>
      <c r="Q14" s="53">
        <f t="shared" si="4"/>
        <v>0</v>
      </c>
      <c r="R14" s="53">
        <f t="shared" si="4"/>
        <v>0</v>
      </c>
      <c r="S14" s="14">
        <f t="shared" si="4"/>
        <v>0</v>
      </c>
      <c r="T14" s="14">
        <f t="shared" si="4"/>
        <v>0</v>
      </c>
      <c r="U14" s="14">
        <f t="shared" si="4"/>
        <v>0</v>
      </c>
      <c r="V14" s="14">
        <f t="shared" si="4"/>
        <v>0</v>
      </c>
      <c r="W14" s="186">
        <f t="shared" si="4"/>
        <v>0</v>
      </c>
      <c r="X14" s="149"/>
    </row>
    <row r="15" spans="2:24" ht="23.25" customHeight="1">
      <c r="B15" s="26" t="s">
        <v>29</v>
      </c>
      <c r="C15" s="27">
        <v>3507517.36</v>
      </c>
      <c r="D15" s="32">
        <v>4706682.11</v>
      </c>
      <c r="E15" s="32">
        <v>4749809.73</v>
      </c>
      <c r="F15" s="28">
        <v>6166838.86</v>
      </c>
      <c r="G15" s="21">
        <v>5516055.42</v>
      </c>
      <c r="H15" s="21">
        <v>4284994.34</v>
      </c>
      <c r="I15" s="31">
        <v>3605648.59</v>
      </c>
      <c r="J15" s="56">
        <v>2956860.23</v>
      </c>
      <c r="K15" s="32">
        <v>5638478.85</v>
      </c>
      <c r="L15" s="32">
        <v>1000000</v>
      </c>
      <c r="M15" s="32"/>
      <c r="N15" s="28"/>
      <c r="O15" s="10"/>
      <c r="P15" s="10"/>
      <c r="Q15" s="10"/>
      <c r="R15" s="57"/>
      <c r="S15" s="10"/>
      <c r="T15" s="10"/>
      <c r="U15" s="10"/>
      <c r="V15" s="10"/>
      <c r="W15" s="57"/>
      <c r="X15" s="149"/>
    </row>
    <row r="16" spans="2:24" ht="49.5" customHeight="1">
      <c r="B16" s="26" t="s">
        <v>30</v>
      </c>
      <c r="C16" s="27">
        <v>3507517.36</v>
      </c>
      <c r="D16" s="32"/>
      <c r="E16" s="32"/>
      <c r="F16" s="28">
        <v>951570.06</v>
      </c>
      <c r="G16" s="21">
        <v>1338120</v>
      </c>
      <c r="H16" s="21">
        <v>1393511.26</v>
      </c>
      <c r="I16" s="31">
        <v>516768.35</v>
      </c>
      <c r="J16" s="58">
        <v>86923.89</v>
      </c>
      <c r="K16" s="58">
        <v>4193596.32</v>
      </c>
      <c r="L16" s="32">
        <v>1000000</v>
      </c>
      <c r="M16" s="32">
        <v>0</v>
      </c>
      <c r="N16" s="28">
        <v>0</v>
      </c>
      <c r="O16" s="10"/>
      <c r="P16" s="10"/>
      <c r="Q16" s="10"/>
      <c r="R16" s="57"/>
      <c r="S16" s="10"/>
      <c r="T16" s="10"/>
      <c r="U16" s="10"/>
      <c r="V16" s="10"/>
      <c r="W16" s="57"/>
      <c r="X16" s="149"/>
    </row>
    <row r="17" spans="2:24" ht="24.75" customHeight="1" hidden="1">
      <c r="B17" s="26" t="s">
        <v>31</v>
      </c>
      <c r="C17" s="27"/>
      <c r="D17" s="32"/>
      <c r="E17" s="32"/>
      <c r="F17" s="28"/>
      <c r="G17" s="21">
        <v>0</v>
      </c>
      <c r="H17" s="21"/>
      <c r="I17" s="31">
        <v>0</v>
      </c>
      <c r="J17" s="32"/>
      <c r="K17" s="32"/>
      <c r="L17" s="32"/>
      <c r="M17" s="32"/>
      <c r="N17" s="28"/>
      <c r="O17" s="10"/>
      <c r="P17" s="10"/>
      <c r="Q17" s="10"/>
      <c r="R17" s="10"/>
      <c r="S17" s="10"/>
      <c r="T17" s="10"/>
      <c r="U17" s="10"/>
      <c r="V17" s="10"/>
      <c r="W17" s="57"/>
      <c r="X17" s="149"/>
    </row>
    <row r="18" spans="2:24" ht="43.5" customHeight="1" hidden="1">
      <c r="B18" s="26" t="s">
        <v>32</v>
      </c>
      <c r="C18" s="27"/>
      <c r="D18" s="32"/>
      <c r="E18" s="32"/>
      <c r="F18" s="28"/>
      <c r="G18" s="21">
        <v>0</v>
      </c>
      <c r="H18" s="21"/>
      <c r="I18" s="31">
        <v>0</v>
      </c>
      <c r="J18" s="32"/>
      <c r="K18" s="32"/>
      <c r="L18" s="32"/>
      <c r="M18" s="32"/>
      <c r="N18" s="28"/>
      <c r="O18" s="10"/>
      <c r="P18" s="10"/>
      <c r="Q18" s="10"/>
      <c r="R18" s="10"/>
      <c r="S18" s="10"/>
      <c r="T18" s="10"/>
      <c r="U18" s="10"/>
      <c r="V18" s="10"/>
      <c r="W18" s="57"/>
      <c r="X18" s="149"/>
    </row>
    <row r="19" spans="2:24" ht="24" customHeight="1">
      <c r="B19" s="26" t="s">
        <v>33</v>
      </c>
      <c r="C19" s="27"/>
      <c r="D19" s="32"/>
      <c r="E19" s="32"/>
      <c r="F19" s="28"/>
      <c r="G19" s="21">
        <v>0</v>
      </c>
      <c r="H19" s="21">
        <v>530000</v>
      </c>
      <c r="I19" s="31">
        <v>530000</v>
      </c>
      <c r="J19" s="32">
        <v>110000</v>
      </c>
      <c r="K19" s="32">
        <v>245000</v>
      </c>
      <c r="L19" s="32">
        <v>0</v>
      </c>
      <c r="M19" s="32">
        <v>0</v>
      </c>
      <c r="N19" s="28"/>
      <c r="O19" s="10">
        <v>0</v>
      </c>
      <c r="P19" s="10"/>
      <c r="Q19" s="10"/>
      <c r="R19" s="10"/>
      <c r="S19" s="10"/>
      <c r="T19" s="10"/>
      <c r="U19" s="10"/>
      <c r="V19" s="10"/>
      <c r="W19" s="57"/>
      <c r="X19" s="149"/>
    </row>
    <row r="20" spans="2:24" ht="28.5" customHeight="1" hidden="1">
      <c r="B20" s="26" t="s">
        <v>34</v>
      </c>
      <c r="C20" s="27"/>
      <c r="D20" s="32"/>
      <c r="E20" s="32"/>
      <c r="F20" s="28"/>
      <c r="G20" s="21">
        <v>0</v>
      </c>
      <c r="H20" s="21"/>
      <c r="I20" s="31">
        <v>0</v>
      </c>
      <c r="J20" s="32"/>
      <c r="K20" s="32"/>
      <c r="L20" s="32"/>
      <c r="M20" s="32"/>
      <c r="N20" s="28"/>
      <c r="O20" s="10"/>
      <c r="P20" s="10"/>
      <c r="Q20" s="10"/>
      <c r="R20" s="10"/>
      <c r="S20" s="10"/>
      <c r="T20" s="10"/>
      <c r="U20" s="10"/>
      <c r="V20" s="10"/>
      <c r="W20" s="57"/>
      <c r="X20" s="149"/>
    </row>
    <row r="21" spans="2:24" ht="27" customHeight="1" hidden="1">
      <c r="B21" s="26" t="s">
        <v>35</v>
      </c>
      <c r="C21" s="27"/>
      <c r="D21" s="32"/>
      <c r="E21" s="32"/>
      <c r="F21" s="28"/>
      <c r="G21" s="21">
        <v>0</v>
      </c>
      <c r="H21" s="21"/>
      <c r="I21" s="59">
        <v>0</v>
      </c>
      <c r="J21" s="60"/>
      <c r="K21" s="60"/>
      <c r="L21" s="60"/>
      <c r="M21" s="60"/>
      <c r="N21" s="43"/>
      <c r="O21" s="61"/>
      <c r="P21" s="61"/>
      <c r="Q21" s="61"/>
      <c r="R21" s="10"/>
      <c r="S21" s="10"/>
      <c r="T21" s="10"/>
      <c r="U21" s="10"/>
      <c r="V21" s="10"/>
      <c r="W21" s="57"/>
      <c r="X21" s="149"/>
    </row>
    <row r="22" spans="2:24" ht="23.25" customHeight="1" thickBot="1">
      <c r="B22" s="26" t="s">
        <v>36</v>
      </c>
      <c r="C22" s="27">
        <v>1474476.87</v>
      </c>
      <c r="D22" s="32">
        <v>638250.01</v>
      </c>
      <c r="E22" s="32">
        <v>265888.65</v>
      </c>
      <c r="F22" s="28"/>
      <c r="G22" s="24">
        <f>E56+E47</f>
        <v>13876.929999999702</v>
      </c>
      <c r="H22" s="24">
        <v>128056.56</v>
      </c>
      <c r="I22" s="62">
        <f>G56+G47</f>
        <v>128056.55999999866</v>
      </c>
      <c r="J22" s="62">
        <v>128056.56</v>
      </c>
      <c r="K22" s="24">
        <f>J56+J47</f>
        <v>236821.3299999982</v>
      </c>
      <c r="L22" s="24">
        <f>K56+K47</f>
        <v>0</v>
      </c>
      <c r="M22" s="24">
        <f aca="true" t="shared" si="5" ref="M22:W22">L57</f>
        <v>0</v>
      </c>
      <c r="N22" s="24">
        <f t="shared" si="5"/>
        <v>0</v>
      </c>
      <c r="O22" s="24">
        <f t="shared" si="5"/>
        <v>0</v>
      </c>
      <c r="P22" s="24">
        <f t="shared" si="5"/>
        <v>0</v>
      </c>
      <c r="Q22" s="24">
        <f t="shared" si="5"/>
        <v>0</v>
      </c>
      <c r="R22" s="24">
        <f t="shared" si="5"/>
        <v>0</v>
      </c>
      <c r="S22" s="24">
        <f t="shared" si="5"/>
        <v>0</v>
      </c>
      <c r="T22" s="24">
        <f t="shared" si="5"/>
        <v>0</v>
      </c>
      <c r="U22" s="24">
        <f t="shared" si="5"/>
        <v>0</v>
      </c>
      <c r="V22" s="24">
        <f t="shared" si="5"/>
        <v>0</v>
      </c>
      <c r="W22" s="25">
        <f t="shared" si="5"/>
        <v>0</v>
      </c>
      <c r="X22" s="149"/>
    </row>
    <row r="23" spans="2:24" ht="21.75" customHeight="1" hidden="1" thickBot="1">
      <c r="B23" s="63" t="s">
        <v>37</v>
      </c>
      <c r="C23" s="64"/>
      <c r="D23" s="60"/>
      <c r="E23" s="60"/>
      <c r="F23" s="43"/>
      <c r="G23" s="21"/>
      <c r="H23" s="21"/>
      <c r="I23" s="65"/>
      <c r="J23" s="66"/>
      <c r="K23" s="66"/>
      <c r="L23" s="66"/>
      <c r="M23" s="66"/>
      <c r="N23" s="67"/>
      <c r="O23" s="68"/>
      <c r="P23" s="68"/>
      <c r="Q23" s="68"/>
      <c r="R23" s="10"/>
      <c r="S23" s="10"/>
      <c r="T23" s="10"/>
      <c r="U23" s="10"/>
      <c r="V23" s="10"/>
      <c r="W23" s="57"/>
      <c r="X23" s="149"/>
    </row>
    <row r="24" spans="2:24" ht="24.75" customHeight="1" thickBot="1" thickTop="1">
      <c r="B24" s="48" t="s">
        <v>38</v>
      </c>
      <c r="C24" s="49">
        <f aca="true" t="shared" si="6" ref="C24:W24">C25+C28+C30+C31</f>
        <v>4007145.67</v>
      </c>
      <c r="D24" s="49">
        <f t="shared" si="6"/>
        <v>796671.23</v>
      </c>
      <c r="E24" s="49">
        <f t="shared" si="6"/>
        <v>751159</v>
      </c>
      <c r="F24" s="50">
        <f t="shared" si="6"/>
        <v>1905960.28</v>
      </c>
      <c r="G24" s="14">
        <f t="shared" si="6"/>
        <v>1672376.42</v>
      </c>
      <c r="H24" s="14">
        <f t="shared" si="6"/>
        <v>2340391.13</v>
      </c>
      <c r="I24" s="51">
        <f t="shared" si="6"/>
        <v>2340391.13</v>
      </c>
      <c r="J24" s="49">
        <f t="shared" si="6"/>
        <v>2229178.5700000003</v>
      </c>
      <c r="K24" s="49">
        <f t="shared" si="6"/>
        <v>1981673.57</v>
      </c>
      <c r="L24" s="159">
        <f t="shared" si="6"/>
        <v>2099811.84</v>
      </c>
      <c r="M24" s="159">
        <f t="shared" si="6"/>
        <v>1581784</v>
      </c>
      <c r="N24" s="174">
        <f t="shared" si="6"/>
        <v>2100000</v>
      </c>
      <c r="O24" s="50">
        <f t="shared" si="6"/>
        <v>2200000</v>
      </c>
      <c r="P24" s="50">
        <f t="shared" si="6"/>
        <v>2262000</v>
      </c>
      <c r="Q24" s="50">
        <f t="shared" si="6"/>
        <v>1951000</v>
      </c>
      <c r="R24" s="50">
        <f t="shared" si="6"/>
        <v>1800000</v>
      </c>
      <c r="S24" s="50">
        <f t="shared" si="6"/>
        <v>1750000</v>
      </c>
      <c r="T24" s="50">
        <f t="shared" si="6"/>
        <v>1500000</v>
      </c>
      <c r="U24" s="50">
        <f t="shared" si="6"/>
        <v>1220000</v>
      </c>
      <c r="V24" s="50">
        <f t="shared" si="6"/>
        <v>1050000</v>
      </c>
      <c r="W24" s="50">
        <f t="shared" si="6"/>
        <v>330651.89</v>
      </c>
      <c r="X24" s="149"/>
    </row>
    <row r="25" spans="2:26" ht="27.75" customHeight="1" thickTop="1">
      <c r="B25" s="16" t="s">
        <v>39</v>
      </c>
      <c r="C25" s="17">
        <v>4007145.67</v>
      </c>
      <c r="D25" s="18">
        <v>796671.23</v>
      </c>
      <c r="E25" s="18">
        <v>751159</v>
      </c>
      <c r="F25" s="42">
        <v>1905960.28</v>
      </c>
      <c r="G25" s="21">
        <v>1672376.42</v>
      </c>
      <c r="H25" s="21">
        <v>1682334.57</v>
      </c>
      <c r="I25" s="69">
        <v>1682334.57</v>
      </c>
      <c r="J25" s="70">
        <v>1774178.57</v>
      </c>
      <c r="K25" s="155">
        <v>1736673.57</v>
      </c>
      <c r="L25" s="175">
        <v>2099811.84</v>
      </c>
      <c r="M25" s="175">
        <v>1581784</v>
      </c>
      <c r="N25" s="175">
        <v>2100000</v>
      </c>
      <c r="O25" s="71">
        <v>2200000</v>
      </c>
      <c r="P25" s="71">
        <v>2262000</v>
      </c>
      <c r="Q25" s="71">
        <v>1951000</v>
      </c>
      <c r="R25" s="71">
        <v>1800000</v>
      </c>
      <c r="S25" s="71">
        <v>1750000</v>
      </c>
      <c r="T25" s="71">
        <v>1500000</v>
      </c>
      <c r="U25" s="71">
        <v>1220000</v>
      </c>
      <c r="V25" s="71">
        <v>1050000</v>
      </c>
      <c r="W25" s="187">
        <v>330651.89</v>
      </c>
      <c r="X25" s="149"/>
      <c r="Y25" s="72">
        <f>SUM(L25:W25)</f>
        <v>19845247.73</v>
      </c>
      <c r="Z25" s="72">
        <f>M25+N25+O25+P25+Q25+R25+S25+T25+U25+V25+W25</f>
        <v>17745435.89</v>
      </c>
    </row>
    <row r="26" spans="2:26" ht="12.75" customHeight="1">
      <c r="B26" s="16"/>
      <c r="C26" s="17"/>
      <c r="D26" s="18"/>
      <c r="E26" s="18"/>
      <c r="F26" s="42"/>
      <c r="G26" s="21"/>
      <c r="H26" s="21"/>
      <c r="I26" s="177"/>
      <c r="J26" s="177"/>
      <c r="K26" s="177"/>
      <c r="L26" s="178"/>
      <c r="M26" s="178"/>
      <c r="N26" s="178"/>
      <c r="O26" s="71"/>
      <c r="P26" s="71"/>
      <c r="Q26" s="71"/>
      <c r="R26" s="71"/>
      <c r="S26" s="71"/>
      <c r="T26" s="71"/>
      <c r="U26" s="71"/>
      <c r="V26" s="71"/>
      <c r="W26" s="187"/>
      <c r="X26" s="71"/>
      <c r="Y26" s="72"/>
      <c r="Z26" s="72"/>
    </row>
    <row r="27" spans="2:26" ht="45" customHeight="1">
      <c r="B27" s="26" t="s">
        <v>40</v>
      </c>
      <c r="C27" s="27">
        <v>3755189.42</v>
      </c>
      <c r="D27" s="32">
        <v>500592.63</v>
      </c>
      <c r="E27" s="32"/>
      <c r="F27" s="28">
        <v>245250</v>
      </c>
      <c r="G27" s="21">
        <v>245250</v>
      </c>
      <c r="H27" s="21">
        <v>266928.87</v>
      </c>
      <c r="I27" s="31">
        <v>266928.87</v>
      </c>
      <c r="J27" s="28">
        <v>265595.31</v>
      </c>
      <c r="K27" s="21">
        <v>0</v>
      </c>
      <c r="L27" s="21">
        <v>917697.04</v>
      </c>
      <c r="M27" s="21">
        <v>1054878.57</v>
      </c>
      <c r="N27" s="21">
        <v>1128267.71</v>
      </c>
      <c r="O27" s="24">
        <v>540753</v>
      </c>
      <c r="P27" s="24">
        <v>300000</v>
      </c>
      <c r="Q27" s="24">
        <v>300000</v>
      </c>
      <c r="R27" s="24">
        <v>300000</v>
      </c>
      <c r="S27" s="24">
        <v>300000</v>
      </c>
      <c r="T27" s="24">
        <v>200000</v>
      </c>
      <c r="U27" s="24">
        <v>200000</v>
      </c>
      <c r="V27" s="24">
        <v>62000</v>
      </c>
      <c r="W27" s="73">
        <v>50000</v>
      </c>
      <c r="X27" s="149"/>
      <c r="Y27" s="72">
        <f>SUM(L27:W27)</f>
        <v>5353596.32</v>
      </c>
      <c r="Z27" s="72">
        <f>M27+N27+O27+P27+Q27+R27+S27+T27+U27+V27+W27</f>
        <v>4435899.28</v>
      </c>
    </row>
    <row r="28" spans="2:24" ht="33.75" customHeight="1" hidden="1">
      <c r="B28" s="26" t="s">
        <v>41</v>
      </c>
      <c r="C28" s="27"/>
      <c r="D28" s="32"/>
      <c r="E28" s="32"/>
      <c r="F28" s="28"/>
      <c r="G28" s="21"/>
      <c r="H28" s="21"/>
      <c r="I28" s="31"/>
      <c r="J28" s="32"/>
      <c r="K28" s="18"/>
      <c r="L28" s="18"/>
      <c r="M28" s="18"/>
      <c r="N28" s="42"/>
      <c r="O28" s="10"/>
      <c r="P28" s="10"/>
      <c r="Q28" s="10"/>
      <c r="R28" s="10"/>
      <c r="S28" s="10"/>
      <c r="T28" s="10"/>
      <c r="U28" s="10"/>
      <c r="V28" s="10"/>
      <c r="W28" s="10"/>
      <c r="X28" s="149"/>
    </row>
    <row r="29" spans="2:24" ht="76.5" customHeight="1" hidden="1">
      <c r="B29" s="26" t="s">
        <v>42</v>
      </c>
      <c r="C29" s="27"/>
      <c r="D29" s="32"/>
      <c r="E29" s="32"/>
      <c r="F29" s="28"/>
      <c r="G29" s="21"/>
      <c r="H29" s="21"/>
      <c r="I29" s="31"/>
      <c r="J29" s="32"/>
      <c r="K29" s="32"/>
      <c r="L29" s="32"/>
      <c r="M29" s="32"/>
      <c r="N29" s="28"/>
      <c r="O29" s="10"/>
      <c r="P29" s="10"/>
      <c r="Q29" s="10"/>
      <c r="R29" s="10"/>
      <c r="S29" s="10"/>
      <c r="T29" s="10"/>
      <c r="U29" s="10"/>
      <c r="V29" s="10"/>
      <c r="W29" s="10"/>
      <c r="X29" s="149"/>
    </row>
    <row r="30" spans="2:24" ht="23.25" customHeight="1" thickBot="1">
      <c r="B30" s="26" t="s">
        <v>43</v>
      </c>
      <c r="C30" s="27"/>
      <c r="D30" s="32"/>
      <c r="E30" s="32"/>
      <c r="F30" s="28"/>
      <c r="G30" s="21">
        <v>0</v>
      </c>
      <c r="H30" s="21">
        <v>658056.56</v>
      </c>
      <c r="I30" s="31">
        <v>658056.56</v>
      </c>
      <c r="J30" s="32">
        <v>455000</v>
      </c>
      <c r="K30" s="32">
        <v>245000</v>
      </c>
      <c r="L30" s="32">
        <v>0</v>
      </c>
      <c r="M30" s="32"/>
      <c r="N30" s="28"/>
      <c r="O30" s="10"/>
      <c r="P30" s="10"/>
      <c r="Q30" s="10"/>
      <c r="R30" s="10"/>
      <c r="S30" s="10"/>
      <c r="T30" s="10"/>
      <c r="U30" s="10"/>
      <c r="V30" s="10"/>
      <c r="W30" s="10"/>
      <c r="X30" s="149"/>
    </row>
    <row r="31" spans="2:24" ht="35.25" customHeight="1" hidden="1" thickBot="1">
      <c r="B31" s="34" t="s">
        <v>44</v>
      </c>
      <c r="C31" s="35"/>
      <c r="D31" s="36"/>
      <c r="E31" s="36"/>
      <c r="F31" s="41"/>
      <c r="G31" s="21"/>
      <c r="H31" s="21"/>
      <c r="I31" s="39"/>
      <c r="J31" s="36"/>
      <c r="K31" s="36"/>
      <c r="L31" s="36"/>
      <c r="M31" s="36"/>
      <c r="N31" s="41"/>
      <c r="O31" s="10"/>
      <c r="P31" s="10"/>
      <c r="Q31" s="10"/>
      <c r="R31" s="10"/>
      <c r="S31" s="10"/>
      <c r="T31" s="10"/>
      <c r="U31" s="10"/>
      <c r="V31" s="10"/>
      <c r="W31" s="10"/>
      <c r="X31" s="149"/>
    </row>
    <row r="32" spans="2:24" ht="18.75" customHeight="1" thickBot="1">
      <c r="B32" s="74" t="s">
        <v>45</v>
      </c>
      <c r="C32" s="75"/>
      <c r="D32" s="76"/>
      <c r="E32" s="76"/>
      <c r="F32" s="77"/>
      <c r="G32" s="78"/>
      <c r="H32" s="78"/>
      <c r="I32" s="79"/>
      <c r="J32" s="76"/>
      <c r="K32" s="76"/>
      <c r="L32" s="76"/>
      <c r="M32" s="76"/>
      <c r="N32" s="77"/>
      <c r="O32" s="10"/>
      <c r="P32" s="10"/>
      <c r="Q32" s="10"/>
      <c r="R32" s="10"/>
      <c r="S32" s="10"/>
      <c r="T32" s="10"/>
      <c r="U32" s="10"/>
      <c r="V32" s="10"/>
      <c r="W32" s="10"/>
      <c r="X32" s="149"/>
    </row>
    <row r="33" spans="2:24" ht="25.5" customHeight="1" thickBot="1">
      <c r="B33" s="44" t="s">
        <v>46</v>
      </c>
      <c r="C33" s="80">
        <f aca="true" t="shared" si="7" ref="C33:I33">C34</f>
        <v>0</v>
      </c>
      <c r="D33" s="80">
        <f t="shared" si="7"/>
        <v>0</v>
      </c>
      <c r="E33" s="80">
        <f t="shared" si="7"/>
        <v>0</v>
      </c>
      <c r="F33" s="81">
        <f t="shared" si="7"/>
        <v>0</v>
      </c>
      <c r="G33" s="82">
        <f t="shared" si="7"/>
        <v>0</v>
      </c>
      <c r="H33" s="82">
        <f t="shared" si="7"/>
        <v>0</v>
      </c>
      <c r="I33" s="80">
        <f t="shared" si="7"/>
        <v>0</v>
      </c>
      <c r="J33" s="180"/>
      <c r="K33" s="80">
        <f aca="true" t="shared" si="8" ref="K33:X33">K34</f>
        <v>0</v>
      </c>
      <c r="L33" s="80">
        <f t="shared" si="8"/>
        <v>35000</v>
      </c>
      <c r="M33" s="80">
        <f t="shared" si="8"/>
        <v>60000</v>
      </c>
      <c r="N33" s="80">
        <f t="shared" si="8"/>
        <v>100000</v>
      </c>
      <c r="O33" s="80">
        <f t="shared" si="8"/>
        <v>140000</v>
      </c>
      <c r="P33" s="80">
        <f t="shared" si="8"/>
        <v>131000</v>
      </c>
      <c r="Q33" s="80">
        <f t="shared" si="8"/>
        <v>0</v>
      </c>
      <c r="R33" s="80">
        <f t="shared" si="8"/>
        <v>0</v>
      </c>
      <c r="S33" s="80">
        <f t="shared" si="8"/>
        <v>0</v>
      </c>
      <c r="T33" s="80">
        <f t="shared" si="8"/>
        <v>0</v>
      </c>
      <c r="U33" s="80">
        <f t="shared" si="8"/>
        <v>0</v>
      </c>
      <c r="V33" s="80">
        <f t="shared" si="8"/>
        <v>0</v>
      </c>
      <c r="W33" s="80">
        <f t="shared" si="8"/>
        <v>0</v>
      </c>
      <c r="X33" s="189">
        <f t="shared" si="8"/>
        <v>466000</v>
      </c>
    </row>
    <row r="34" spans="2:24" ht="63.75" customHeight="1" thickBot="1" thickTop="1">
      <c r="B34" s="183" t="s">
        <v>47</v>
      </c>
      <c r="C34" s="83"/>
      <c r="D34" s="84"/>
      <c r="E34" s="84"/>
      <c r="F34" s="85"/>
      <c r="G34" s="78"/>
      <c r="H34" s="78"/>
      <c r="I34" s="179"/>
      <c r="J34" s="78"/>
      <c r="K34" s="86">
        <v>0</v>
      </c>
      <c r="L34" s="84">
        <v>35000</v>
      </c>
      <c r="M34" s="84">
        <v>60000</v>
      </c>
      <c r="N34" s="87">
        <v>100000</v>
      </c>
      <c r="O34" s="24">
        <v>140000</v>
      </c>
      <c r="P34" s="24">
        <v>131000</v>
      </c>
      <c r="Q34" s="24"/>
      <c r="R34" s="24"/>
      <c r="S34" s="24"/>
      <c r="T34" s="24"/>
      <c r="U34" s="24"/>
      <c r="V34" s="24"/>
      <c r="W34" s="188"/>
      <c r="X34" s="190">
        <f>SUM(K34:W34)</f>
        <v>466000</v>
      </c>
    </row>
    <row r="35" spans="2:24" ht="91.5" customHeight="1" hidden="1" thickBot="1">
      <c r="B35" s="182" t="s">
        <v>48</v>
      </c>
      <c r="C35" s="89"/>
      <c r="D35" s="90"/>
      <c r="E35" s="90"/>
      <c r="F35" s="91"/>
      <c r="G35" s="78"/>
      <c r="H35" s="78"/>
      <c r="I35" s="92"/>
      <c r="J35" s="181"/>
      <c r="K35" s="90"/>
      <c r="L35" s="90"/>
      <c r="M35" s="90"/>
      <c r="N35" s="91"/>
      <c r="O35" s="10"/>
      <c r="P35" s="10"/>
      <c r="Q35" s="10"/>
      <c r="R35" s="10"/>
      <c r="S35" s="10"/>
      <c r="T35" s="10"/>
      <c r="U35" s="10"/>
      <c r="V35" s="10"/>
      <c r="W35" s="57"/>
      <c r="X35" s="149"/>
    </row>
    <row r="36" spans="2:24" ht="60.75" customHeight="1" thickBot="1" thickTop="1">
      <c r="B36" s="48" t="s">
        <v>49</v>
      </c>
      <c r="C36" s="49">
        <f aca="true" t="shared" si="9" ref="C36:W36">C37+C38+C39+C40+C41+C42</f>
        <v>315375.95</v>
      </c>
      <c r="D36" s="49">
        <f t="shared" si="9"/>
        <v>376206.77999999997</v>
      </c>
      <c r="E36" s="49">
        <f t="shared" si="9"/>
        <v>985967.04</v>
      </c>
      <c r="F36" s="50">
        <f t="shared" si="9"/>
        <v>1960710.28</v>
      </c>
      <c r="G36" s="14">
        <f t="shared" si="9"/>
        <v>1770563.0299999998</v>
      </c>
      <c r="H36" s="14">
        <f t="shared" si="9"/>
        <v>1972105.7000000002</v>
      </c>
      <c r="I36" s="51">
        <f t="shared" si="9"/>
        <v>1992105.7000000002</v>
      </c>
      <c r="J36" s="49">
        <f t="shared" si="9"/>
        <v>2120290.1</v>
      </c>
      <c r="K36" s="49">
        <f t="shared" si="9"/>
        <v>2636673.5700000003</v>
      </c>
      <c r="L36" s="159">
        <f t="shared" si="9"/>
        <v>1917114.7999999998</v>
      </c>
      <c r="M36" s="159">
        <f t="shared" si="9"/>
        <v>1186905.43</v>
      </c>
      <c r="N36" s="159">
        <f t="shared" si="9"/>
        <v>1621732.29</v>
      </c>
      <c r="O36" s="159">
        <f t="shared" si="9"/>
        <v>2299247</v>
      </c>
      <c r="P36" s="159">
        <f t="shared" si="9"/>
        <v>2543000</v>
      </c>
      <c r="Q36" s="159">
        <f t="shared" si="9"/>
        <v>2001000</v>
      </c>
      <c r="R36" s="159">
        <f t="shared" si="9"/>
        <v>1750000</v>
      </c>
      <c r="S36" s="159">
        <f t="shared" si="9"/>
        <v>1650000</v>
      </c>
      <c r="T36" s="159">
        <f t="shared" si="9"/>
        <v>1450000</v>
      </c>
      <c r="U36" s="159">
        <f t="shared" si="9"/>
        <v>1140000</v>
      </c>
      <c r="V36" s="159">
        <f t="shared" si="9"/>
        <v>1088000</v>
      </c>
      <c r="W36" s="174">
        <f t="shared" si="9"/>
        <v>330651.89</v>
      </c>
      <c r="X36" s="149"/>
    </row>
    <row r="37" spans="2:26" ht="30.75" customHeight="1" thickTop="1">
      <c r="B37" s="16" t="s">
        <v>50</v>
      </c>
      <c r="C37" s="53">
        <f aca="true" t="shared" si="10" ref="C37:W37">C25-C27</f>
        <v>251956.25</v>
      </c>
      <c r="D37" s="53">
        <f t="shared" si="10"/>
        <v>296078.6</v>
      </c>
      <c r="E37" s="53">
        <f t="shared" si="10"/>
        <v>751159</v>
      </c>
      <c r="F37" s="54">
        <f t="shared" si="10"/>
        <v>1660710.28</v>
      </c>
      <c r="G37" s="14">
        <f t="shared" si="10"/>
        <v>1427126.42</v>
      </c>
      <c r="H37" s="14">
        <f t="shared" si="10"/>
        <v>1415405.7000000002</v>
      </c>
      <c r="I37" s="55">
        <f t="shared" si="10"/>
        <v>1415405.7000000002</v>
      </c>
      <c r="J37" s="53">
        <f t="shared" si="10"/>
        <v>1508583.26</v>
      </c>
      <c r="K37" s="54">
        <f t="shared" si="10"/>
        <v>1736673.57</v>
      </c>
      <c r="L37" s="14">
        <f t="shared" si="10"/>
        <v>1182114.7999999998</v>
      </c>
      <c r="M37" s="14">
        <f t="shared" si="10"/>
        <v>526905.4299999999</v>
      </c>
      <c r="N37" s="14">
        <f t="shared" si="10"/>
        <v>971732.29</v>
      </c>
      <c r="O37" s="14">
        <f t="shared" si="10"/>
        <v>1659247</v>
      </c>
      <c r="P37" s="14">
        <f t="shared" si="10"/>
        <v>1962000</v>
      </c>
      <c r="Q37" s="14">
        <f t="shared" si="10"/>
        <v>1651000</v>
      </c>
      <c r="R37" s="14">
        <f t="shared" si="10"/>
        <v>1500000</v>
      </c>
      <c r="S37" s="14">
        <f t="shared" si="10"/>
        <v>1450000</v>
      </c>
      <c r="T37" s="14">
        <f t="shared" si="10"/>
        <v>1300000</v>
      </c>
      <c r="U37" s="14">
        <f t="shared" si="10"/>
        <v>1020000</v>
      </c>
      <c r="V37" s="14">
        <f t="shared" si="10"/>
        <v>988000</v>
      </c>
      <c r="W37" s="14">
        <f t="shared" si="10"/>
        <v>280651.89</v>
      </c>
      <c r="X37" s="149"/>
      <c r="Y37" s="191">
        <f>SUM(L37:W37)</f>
        <v>14491651.41</v>
      </c>
      <c r="Z37" s="132">
        <f>Y37-L37</f>
        <v>13309536.61</v>
      </c>
    </row>
    <row r="38" spans="2:24" ht="28.5" customHeight="1">
      <c r="B38" s="26" t="s">
        <v>51</v>
      </c>
      <c r="C38" s="27">
        <v>63419.7</v>
      </c>
      <c r="D38" s="32">
        <v>80128.18</v>
      </c>
      <c r="E38" s="32">
        <v>234808.04</v>
      </c>
      <c r="F38" s="28">
        <v>300000</v>
      </c>
      <c r="G38" s="21">
        <v>343436.61</v>
      </c>
      <c r="H38" s="21">
        <v>556700</v>
      </c>
      <c r="I38" s="31">
        <v>576700</v>
      </c>
      <c r="J38" s="32">
        <v>611706.84</v>
      </c>
      <c r="K38" s="32">
        <v>900000</v>
      </c>
      <c r="L38" s="18">
        <v>700000</v>
      </c>
      <c r="M38" s="18">
        <v>600000</v>
      </c>
      <c r="N38" s="42">
        <v>550000</v>
      </c>
      <c r="O38" s="160">
        <v>500000</v>
      </c>
      <c r="P38" s="160">
        <v>450000</v>
      </c>
      <c r="Q38" s="160">
        <v>350000</v>
      </c>
      <c r="R38" s="160">
        <v>250000</v>
      </c>
      <c r="S38" s="160">
        <v>200000</v>
      </c>
      <c r="T38" s="160">
        <v>150000</v>
      </c>
      <c r="U38" s="160">
        <v>120000</v>
      </c>
      <c r="V38" s="160">
        <v>100000</v>
      </c>
      <c r="W38" s="160">
        <v>50000</v>
      </c>
      <c r="X38" s="149"/>
    </row>
    <row r="39" spans="2:24" ht="34.5" customHeight="1" hidden="1">
      <c r="B39" s="26" t="s">
        <v>52</v>
      </c>
      <c r="C39" s="93"/>
      <c r="D39" s="93"/>
      <c r="E39" s="93"/>
      <c r="F39" s="94"/>
      <c r="G39" s="14"/>
      <c r="H39" s="14"/>
      <c r="I39" s="95"/>
      <c r="J39" s="93"/>
      <c r="K39" s="93"/>
      <c r="L39" s="93"/>
      <c r="M39" s="93"/>
      <c r="N39" s="94"/>
      <c r="O39" s="10"/>
      <c r="P39" s="10"/>
      <c r="Q39" s="10"/>
      <c r="R39" s="10"/>
      <c r="S39" s="10"/>
      <c r="T39" s="10"/>
      <c r="U39" s="10"/>
      <c r="V39" s="10"/>
      <c r="W39" s="10"/>
      <c r="X39" s="149"/>
    </row>
    <row r="40" spans="2:24" ht="27.75" customHeight="1" hidden="1">
      <c r="B40" s="26" t="s">
        <v>53</v>
      </c>
      <c r="C40" s="27"/>
      <c r="D40" s="32"/>
      <c r="E40" s="32"/>
      <c r="F40" s="28"/>
      <c r="G40" s="21"/>
      <c r="H40" s="21"/>
      <c r="I40" s="31"/>
      <c r="J40" s="32"/>
      <c r="K40" s="32"/>
      <c r="L40" s="32"/>
      <c r="M40" s="32"/>
      <c r="N40" s="28"/>
      <c r="O40" s="10"/>
      <c r="P40" s="10"/>
      <c r="Q40" s="10"/>
      <c r="R40" s="10"/>
      <c r="S40" s="10"/>
      <c r="T40" s="10"/>
      <c r="U40" s="10"/>
      <c r="V40" s="10"/>
      <c r="W40" s="10"/>
      <c r="X40" s="149"/>
    </row>
    <row r="41" spans="2:24" ht="55.5" customHeight="1" thickBot="1">
      <c r="B41" s="26" t="s">
        <v>54</v>
      </c>
      <c r="C41" s="93"/>
      <c r="D41" s="93"/>
      <c r="E41" s="93"/>
      <c r="F41" s="94"/>
      <c r="G41" s="14">
        <f>G34-G35</f>
        <v>0</v>
      </c>
      <c r="H41" s="14"/>
      <c r="I41" s="95">
        <f>I34-I35</f>
        <v>0</v>
      </c>
      <c r="J41" s="93">
        <v>0</v>
      </c>
      <c r="K41" s="93">
        <v>0</v>
      </c>
      <c r="L41" s="93">
        <f aca="true" t="shared" si="11" ref="L41:T41">L34-L35</f>
        <v>35000</v>
      </c>
      <c r="M41" s="93">
        <f t="shared" si="11"/>
        <v>60000</v>
      </c>
      <c r="N41" s="93">
        <f t="shared" si="11"/>
        <v>100000</v>
      </c>
      <c r="O41" s="93">
        <f t="shared" si="11"/>
        <v>140000</v>
      </c>
      <c r="P41" s="93">
        <f t="shared" si="11"/>
        <v>131000</v>
      </c>
      <c r="Q41" s="93">
        <f t="shared" si="11"/>
        <v>0</v>
      </c>
      <c r="R41" s="93">
        <f t="shared" si="11"/>
        <v>0</v>
      </c>
      <c r="S41" s="93">
        <f t="shared" si="11"/>
        <v>0</v>
      </c>
      <c r="T41" s="93">
        <f t="shared" si="11"/>
        <v>0</v>
      </c>
      <c r="U41" s="153"/>
      <c r="V41" s="153"/>
      <c r="W41" s="57"/>
      <c r="X41" s="149"/>
    </row>
    <row r="42" spans="2:24" ht="59.25" customHeight="1" hidden="1" thickBot="1">
      <c r="B42" s="34" t="s">
        <v>55</v>
      </c>
      <c r="C42" s="96"/>
      <c r="D42" s="97"/>
      <c r="E42" s="97"/>
      <c r="F42" s="98"/>
      <c r="G42" s="14"/>
      <c r="H42" s="14"/>
      <c r="I42" s="99"/>
      <c r="J42" s="97"/>
      <c r="K42" s="97"/>
      <c r="L42" s="97"/>
      <c r="M42" s="97"/>
      <c r="N42" s="98"/>
      <c r="O42" s="10"/>
      <c r="P42" s="10"/>
      <c r="Q42" s="10"/>
      <c r="R42" s="10"/>
      <c r="S42" s="10"/>
      <c r="T42" s="10"/>
      <c r="U42" s="10"/>
      <c r="V42" s="10"/>
      <c r="W42" s="57"/>
      <c r="X42" s="149"/>
    </row>
    <row r="43" spans="2:24" ht="22.5" customHeight="1" thickBot="1">
      <c r="B43" s="44" t="s">
        <v>56</v>
      </c>
      <c r="C43" s="100">
        <f aca="true" t="shared" si="12" ref="C43:X43">C36/C5</f>
        <v>0.014287845717481963</v>
      </c>
      <c r="D43" s="100">
        <f t="shared" si="12"/>
        <v>0.018574664740391798</v>
      </c>
      <c r="E43" s="100">
        <f t="shared" si="12"/>
        <v>0.04956922825255505</v>
      </c>
      <c r="F43" s="101">
        <f t="shared" si="12"/>
        <v>0.08150257273824034</v>
      </c>
      <c r="G43" s="102">
        <f t="shared" si="12"/>
        <v>0.08415445208001525</v>
      </c>
      <c r="H43" s="102">
        <f t="shared" si="12"/>
        <v>0.08557529047511324</v>
      </c>
      <c r="I43" s="103">
        <f t="shared" si="12"/>
        <v>0.08906597741126779</v>
      </c>
      <c r="J43" s="100">
        <f t="shared" si="12"/>
        <v>0.09476647213353222</v>
      </c>
      <c r="K43" s="100">
        <f t="shared" si="12"/>
        <v>0.10289176952665222</v>
      </c>
      <c r="L43" s="100">
        <f t="shared" si="12"/>
        <v>0.06450588156123822</v>
      </c>
      <c r="M43" s="100">
        <f t="shared" si="12"/>
        <v>0.04121199409722222</v>
      </c>
      <c r="N43" s="101">
        <f t="shared" si="12"/>
        <v>0.06006415888888889</v>
      </c>
      <c r="O43" s="101">
        <f t="shared" si="12"/>
        <v>0.09580195833333334</v>
      </c>
      <c r="P43" s="101">
        <f t="shared" si="12"/>
        <v>0.1112910284463895</v>
      </c>
      <c r="Q43" s="101">
        <f t="shared" si="12"/>
        <v>0.08737991266375546</v>
      </c>
      <c r="R43" s="101">
        <f t="shared" si="12"/>
        <v>0.07709251101321586</v>
      </c>
      <c r="S43" s="101">
        <f t="shared" si="12"/>
        <v>0.07236842105263158</v>
      </c>
      <c r="T43" s="101">
        <f t="shared" si="12"/>
        <v>0.06359649122807018</v>
      </c>
      <c r="U43" s="101">
        <f t="shared" si="12"/>
        <v>0.050442477876106194</v>
      </c>
      <c r="V43" s="101">
        <f t="shared" si="12"/>
        <v>0.048355555555555554</v>
      </c>
      <c r="W43" s="101">
        <f t="shared" si="12"/>
        <v>0.014695639555555556</v>
      </c>
      <c r="X43" s="102">
        <f t="shared" si="12"/>
        <v>0</v>
      </c>
    </row>
    <row r="44" spans="2:24" ht="35.25" customHeight="1" thickBot="1" thickTop="1">
      <c r="B44" s="48" t="s">
        <v>57</v>
      </c>
      <c r="C44" s="49">
        <f aca="true" t="shared" si="13" ref="C44:X44">C45+C47+C49+C50</f>
        <v>2648590.26</v>
      </c>
      <c r="D44" s="49">
        <f t="shared" si="13"/>
        <v>5918550.45</v>
      </c>
      <c r="E44" s="49">
        <f t="shared" si="13"/>
        <v>10005112.989999998</v>
      </c>
      <c r="F44" s="50">
        <f t="shared" si="13"/>
        <v>14177960.37</v>
      </c>
      <c r="G44" s="14">
        <f t="shared" si="13"/>
        <v>13760760.79</v>
      </c>
      <c r="H44" s="14">
        <f t="shared" si="13"/>
        <v>16363420.56</v>
      </c>
      <c r="I44" s="51">
        <f t="shared" si="13"/>
        <v>15684074.809999999</v>
      </c>
      <c r="J44" s="49">
        <f t="shared" si="13"/>
        <v>14943442.45</v>
      </c>
      <c r="K44" s="49">
        <f t="shared" si="13"/>
        <v>18845247.729999997</v>
      </c>
      <c r="L44" s="49">
        <f t="shared" si="13"/>
        <v>17745435.889999997</v>
      </c>
      <c r="M44" s="49">
        <f t="shared" si="13"/>
        <v>16163651.889999997</v>
      </c>
      <c r="N44" s="49">
        <f t="shared" si="13"/>
        <v>14063651.889999997</v>
      </c>
      <c r="O44" s="49">
        <f t="shared" si="13"/>
        <v>11863651.889999997</v>
      </c>
      <c r="P44" s="49">
        <f t="shared" si="13"/>
        <v>9601651.889999997</v>
      </c>
      <c r="Q44" s="49">
        <f t="shared" si="13"/>
        <v>7650651.889999997</v>
      </c>
      <c r="R44" s="49">
        <f t="shared" si="13"/>
        <v>5850651.889999997</v>
      </c>
      <c r="S44" s="49">
        <f t="shared" si="13"/>
        <v>4100651.889999997</v>
      </c>
      <c r="T44" s="49">
        <f t="shared" si="13"/>
        <v>2600651.889999997</v>
      </c>
      <c r="U44" s="49">
        <f t="shared" si="13"/>
        <v>1380651.8899999969</v>
      </c>
      <c r="V44" s="49">
        <f t="shared" si="13"/>
        <v>330651.88999999687</v>
      </c>
      <c r="W44" s="50">
        <f t="shared" si="13"/>
        <v>-3.14321368932724E-09</v>
      </c>
      <c r="X44" s="14">
        <f t="shared" si="13"/>
        <v>0</v>
      </c>
    </row>
    <row r="45" spans="2:24" ht="30" customHeight="1" hidden="1" thickBot="1" thickTop="1">
      <c r="B45" s="16" t="s">
        <v>58</v>
      </c>
      <c r="C45" s="17"/>
      <c r="D45" s="104"/>
      <c r="E45" s="104"/>
      <c r="F45" s="105"/>
      <c r="G45" s="106"/>
      <c r="H45" s="106"/>
      <c r="I45" s="107"/>
      <c r="J45" s="104"/>
      <c r="K45" s="104"/>
      <c r="L45" s="104"/>
      <c r="M45" s="104"/>
      <c r="N45" s="49"/>
      <c r="O45" s="10"/>
      <c r="P45" s="10"/>
      <c r="Q45" s="10"/>
      <c r="R45" s="10"/>
      <c r="S45" s="10"/>
      <c r="T45" s="10"/>
      <c r="U45" s="10"/>
      <c r="V45" s="10"/>
      <c r="W45" s="57"/>
      <c r="X45" s="149"/>
    </row>
    <row r="46" spans="2:24" ht="53.25" customHeight="1" hidden="1" thickTop="1">
      <c r="B46" s="26" t="s">
        <v>59</v>
      </c>
      <c r="C46" s="27"/>
      <c r="D46" s="108"/>
      <c r="E46" s="108"/>
      <c r="F46" s="109"/>
      <c r="G46" s="106"/>
      <c r="H46" s="106"/>
      <c r="I46" s="110"/>
      <c r="J46" s="108"/>
      <c r="K46" s="108"/>
      <c r="L46" s="108"/>
      <c r="M46" s="108"/>
      <c r="N46" s="109"/>
      <c r="O46" s="10"/>
      <c r="P46" s="10"/>
      <c r="Q46" s="10"/>
      <c r="R46" s="10"/>
      <c r="S46" s="10"/>
      <c r="T46" s="10"/>
      <c r="U46" s="10"/>
      <c r="V46" s="10"/>
      <c r="W46" s="57"/>
      <c r="X46" s="149"/>
    </row>
    <row r="47" spans="2:25" ht="31.5" customHeight="1" thickTop="1">
      <c r="B47" s="26" t="s">
        <v>60</v>
      </c>
      <c r="C47" s="27">
        <v>2648414.26</v>
      </c>
      <c r="D47" s="108">
        <v>5918430.45</v>
      </c>
      <c r="E47" s="108">
        <v>9917081.79</v>
      </c>
      <c r="F47" s="109">
        <v>14177960.37</v>
      </c>
      <c r="G47" s="14">
        <f>E47+G15-G25</f>
        <v>13760760.79</v>
      </c>
      <c r="H47" s="106">
        <v>16363420.56</v>
      </c>
      <c r="I47" s="110">
        <f>G47+I15-I25</f>
        <v>15684074.809999999</v>
      </c>
      <c r="J47" s="93">
        <f>G47+J15-J25</f>
        <v>14943442.45</v>
      </c>
      <c r="K47" s="111">
        <f>J47+K15-K25</f>
        <v>18845247.729999997</v>
      </c>
      <c r="L47" s="111">
        <f aca="true" t="shared" si="14" ref="L47:W47">K47+L15-L25</f>
        <v>17745435.889999997</v>
      </c>
      <c r="M47" s="111">
        <f t="shared" si="14"/>
        <v>16163651.889999997</v>
      </c>
      <c r="N47" s="111">
        <f t="shared" si="14"/>
        <v>14063651.889999997</v>
      </c>
      <c r="O47" s="111">
        <f t="shared" si="14"/>
        <v>11863651.889999997</v>
      </c>
      <c r="P47" s="111">
        <f t="shared" si="14"/>
        <v>9601651.889999997</v>
      </c>
      <c r="Q47" s="111">
        <f t="shared" si="14"/>
        <v>7650651.889999997</v>
      </c>
      <c r="R47" s="111">
        <f t="shared" si="14"/>
        <v>5850651.889999997</v>
      </c>
      <c r="S47" s="111">
        <f t="shared" si="14"/>
        <v>4100651.889999997</v>
      </c>
      <c r="T47" s="111">
        <f t="shared" si="14"/>
        <v>2600651.889999997</v>
      </c>
      <c r="U47" s="111">
        <f t="shared" si="14"/>
        <v>1380651.8899999969</v>
      </c>
      <c r="V47" s="111">
        <f t="shared" si="14"/>
        <v>330651.88999999687</v>
      </c>
      <c r="W47" s="156">
        <f t="shared" si="14"/>
        <v>-3.14321368932724E-09</v>
      </c>
      <c r="X47" s="14"/>
      <c r="Y47" s="95"/>
    </row>
    <row r="48" spans="2:25" ht="48.75" customHeight="1">
      <c r="B48" s="26" t="s">
        <v>61</v>
      </c>
      <c r="C48" s="27">
        <v>1722790.98</v>
      </c>
      <c r="D48" s="108">
        <v>1288998.75</v>
      </c>
      <c r="E48" s="108">
        <v>1308998.35</v>
      </c>
      <c r="F48" s="109">
        <v>1563748.4</v>
      </c>
      <c r="G48" s="106">
        <v>2361668.35</v>
      </c>
      <c r="H48" s="106">
        <v>3488250.74</v>
      </c>
      <c r="I48" s="110">
        <f>G48+I16+I18-I27-I29</f>
        <v>2611507.83</v>
      </c>
      <c r="J48" s="108">
        <f>G48+J16+J18-J27-J29</f>
        <v>2182996.93</v>
      </c>
      <c r="K48" s="108">
        <v>4353596.32</v>
      </c>
      <c r="L48" s="108">
        <f>K48+L16+L18-L27-L29</f>
        <v>4435899.28</v>
      </c>
      <c r="M48" s="108">
        <f>L48+M16+M18-M27-M29</f>
        <v>3381020.71</v>
      </c>
      <c r="N48" s="108">
        <f>M48+N16+N18-N27-N29</f>
        <v>2252753</v>
      </c>
      <c r="O48" s="108">
        <f>N48+O16+O18-O27-O29</f>
        <v>1712000</v>
      </c>
      <c r="P48" s="108">
        <f aca="true" t="shared" si="15" ref="P48:W48">O48+P16+P18-P27-P29</f>
        <v>1412000</v>
      </c>
      <c r="Q48" s="108">
        <f t="shared" si="15"/>
        <v>1112000</v>
      </c>
      <c r="R48" s="108">
        <f t="shared" si="15"/>
        <v>812000</v>
      </c>
      <c r="S48" s="108">
        <f t="shared" si="15"/>
        <v>512000</v>
      </c>
      <c r="T48" s="108">
        <f t="shared" si="15"/>
        <v>312000</v>
      </c>
      <c r="U48" s="108">
        <f t="shared" si="15"/>
        <v>112000</v>
      </c>
      <c r="V48" s="108">
        <f t="shared" si="15"/>
        <v>50000</v>
      </c>
      <c r="W48" s="108">
        <f t="shared" si="15"/>
        <v>0</v>
      </c>
      <c r="X48" s="106"/>
      <c r="Y48" s="112"/>
    </row>
    <row r="49" spans="2:24" ht="18.75" customHeight="1" hidden="1">
      <c r="B49" s="26" t="s">
        <v>62</v>
      </c>
      <c r="C49" s="27"/>
      <c r="D49" s="113"/>
      <c r="E49" s="113"/>
      <c r="F49" s="114"/>
      <c r="G49" s="78"/>
      <c r="H49" s="78"/>
      <c r="I49" s="115"/>
      <c r="J49" s="113"/>
      <c r="K49" s="113"/>
      <c r="L49" s="113"/>
      <c r="M49" s="113"/>
      <c r="N49" s="114"/>
      <c r="O49" s="10"/>
      <c r="P49" s="10"/>
      <c r="Q49" s="10"/>
      <c r="R49" s="10"/>
      <c r="S49" s="10"/>
      <c r="T49" s="10"/>
      <c r="U49" s="10"/>
      <c r="V49" s="10"/>
      <c r="W49" s="57"/>
      <c r="X49" s="149"/>
    </row>
    <row r="50" spans="2:24" ht="27" customHeight="1" thickBot="1">
      <c r="B50" s="34" t="s">
        <v>63</v>
      </c>
      <c r="C50" s="35">
        <v>176</v>
      </c>
      <c r="D50" s="116">
        <v>120</v>
      </c>
      <c r="E50" s="116">
        <v>88031.2</v>
      </c>
      <c r="F50" s="117">
        <v>0</v>
      </c>
      <c r="G50" s="78"/>
      <c r="H50" s="78"/>
      <c r="I50" s="118"/>
      <c r="J50" s="116"/>
      <c r="L50" s="116"/>
      <c r="M50" s="116"/>
      <c r="N50" s="117"/>
      <c r="O50" s="10"/>
      <c r="P50" s="10"/>
      <c r="Q50" s="10"/>
      <c r="R50" s="10"/>
      <c r="S50" s="10"/>
      <c r="T50" s="10"/>
      <c r="U50" s="10"/>
      <c r="V50" s="10"/>
      <c r="W50" s="57"/>
      <c r="X50" s="149"/>
    </row>
    <row r="51" spans="2:24" ht="27.75" customHeight="1" thickBot="1">
      <c r="B51" s="74" t="s">
        <v>64</v>
      </c>
      <c r="C51" s="119">
        <f aca="true" t="shared" si="16" ref="C51:W51">(C44-C46-C48)/C5</f>
        <v>0.04194256815713399</v>
      </c>
      <c r="D51" s="119">
        <f t="shared" si="16"/>
        <v>0.22857740821632963</v>
      </c>
      <c r="E51" s="119">
        <f t="shared" si="16"/>
        <v>0.4371948290487941</v>
      </c>
      <c r="F51" s="120">
        <f t="shared" si="16"/>
        <v>0.5243460694358715</v>
      </c>
      <c r="G51" s="102">
        <f t="shared" si="16"/>
        <v>0.5417962321836371</v>
      </c>
      <c r="H51" s="102">
        <f t="shared" si="16"/>
        <v>0.5586903365589945</v>
      </c>
      <c r="I51" s="121">
        <f t="shared" si="16"/>
        <v>0.5844674584024155</v>
      </c>
      <c r="J51" s="119">
        <f t="shared" si="16"/>
        <v>0.570328751137656</v>
      </c>
      <c r="K51" s="119">
        <f>(K44-K46-K48)/K5</f>
        <v>0.56551242213055</v>
      </c>
      <c r="L51" s="119">
        <f t="shared" si="16"/>
        <v>0.44783097611036327</v>
      </c>
      <c r="M51" s="119">
        <f t="shared" si="16"/>
        <v>0.44384136041666655</v>
      </c>
      <c r="N51" s="119">
        <f t="shared" si="16"/>
        <v>0.4374406996296295</v>
      </c>
      <c r="O51" s="119">
        <f t="shared" si="16"/>
        <v>0.4229854954166665</v>
      </c>
      <c r="P51" s="119">
        <f t="shared" si="16"/>
        <v>0.35840927308533904</v>
      </c>
      <c r="Q51" s="119">
        <f t="shared" si="16"/>
        <v>0.28553065021834045</v>
      </c>
      <c r="R51" s="119">
        <f t="shared" si="16"/>
        <v>0.22196704361233466</v>
      </c>
      <c r="S51" s="119">
        <f t="shared" si="16"/>
        <v>0.1573970127192981</v>
      </c>
      <c r="T51" s="119">
        <f t="shared" si="16"/>
        <v>0.10037946885964899</v>
      </c>
      <c r="U51" s="119">
        <f t="shared" si="16"/>
        <v>0.056135039380530834</v>
      </c>
      <c r="V51" s="119">
        <f t="shared" si="16"/>
        <v>0.012473417333333195</v>
      </c>
      <c r="W51" s="120">
        <f t="shared" si="16"/>
        <v>-1.3969838619232177E-16</v>
      </c>
      <c r="X51" s="149"/>
    </row>
    <row r="52" spans="2:24" ht="27.75" customHeight="1" thickBot="1">
      <c r="B52" s="74" t="s">
        <v>65</v>
      </c>
      <c r="C52" s="121">
        <f aca="true" t="shared" si="17" ref="C52:W52">C44/C5*100%</f>
        <v>0.11999218394333948</v>
      </c>
      <c r="D52" s="121">
        <f t="shared" si="17"/>
        <v>0.2922198540862156</v>
      </c>
      <c r="E52" s="121">
        <f t="shared" si="17"/>
        <v>0.5030043696936496</v>
      </c>
      <c r="F52" s="121">
        <f t="shared" si="17"/>
        <v>0.5893477777531793</v>
      </c>
      <c r="G52" s="121">
        <f t="shared" si="17"/>
        <v>0.6540457836661188</v>
      </c>
      <c r="H52" s="121">
        <f t="shared" si="17"/>
        <v>0.7100554841398411</v>
      </c>
      <c r="I52" s="121">
        <f t="shared" si="17"/>
        <v>0.7012265728390285</v>
      </c>
      <c r="J52" s="121">
        <f t="shared" si="17"/>
        <v>0.6678979081763232</v>
      </c>
      <c r="K52" s="121">
        <f t="shared" si="17"/>
        <v>0.7354042260558729</v>
      </c>
      <c r="L52" s="121">
        <f t="shared" si="17"/>
        <v>0.5970873448855988</v>
      </c>
      <c r="M52" s="121">
        <f t="shared" si="17"/>
        <v>0.5612379128472221</v>
      </c>
      <c r="N52" s="121">
        <f t="shared" si="17"/>
        <v>0.5208759959259258</v>
      </c>
      <c r="O52" s="121">
        <f t="shared" si="17"/>
        <v>0.4943188287499999</v>
      </c>
      <c r="P52" s="121">
        <f t="shared" si="17"/>
        <v>0.42020358380743966</v>
      </c>
      <c r="Q52" s="121">
        <f t="shared" si="17"/>
        <v>0.334089602183406</v>
      </c>
      <c r="R52" s="121">
        <f t="shared" si="17"/>
        <v>0.25773796872246685</v>
      </c>
      <c r="S52" s="121">
        <f t="shared" si="17"/>
        <v>0.1798531530701753</v>
      </c>
      <c r="T52" s="121">
        <f t="shared" si="17"/>
        <v>0.11406367938596478</v>
      </c>
      <c r="U52" s="121">
        <f t="shared" si="17"/>
        <v>0.06109079159292022</v>
      </c>
      <c r="V52" s="121">
        <f t="shared" si="17"/>
        <v>0.014695639555555416</v>
      </c>
      <c r="W52" s="157">
        <f t="shared" si="17"/>
        <v>-1.3969838619232177E-16</v>
      </c>
      <c r="X52" s="149"/>
    </row>
    <row r="53" spans="2:24" ht="48" customHeight="1" thickBot="1">
      <c r="B53" s="44" t="s">
        <v>66</v>
      </c>
      <c r="C53" s="122" t="s">
        <v>67</v>
      </c>
      <c r="D53" s="123" t="s">
        <v>67</v>
      </c>
      <c r="E53" s="123" t="s">
        <v>67</v>
      </c>
      <c r="F53" s="124">
        <v>8.16</v>
      </c>
      <c r="G53" s="125">
        <f>(((C6+C8-C10)/C5)+((D6+D8-D10)/D5)+((E6+E8-E10)/E5))*0.33*100</f>
        <v>8.162545157023784</v>
      </c>
      <c r="H53" s="125">
        <f>(((E6+E8-E10)/E5)+((F6+F8-F10)/F5)+((G6+G8-G10)/G5))*0.33*100</f>
        <v>2.3827265911038684</v>
      </c>
      <c r="I53" s="126">
        <f>H53</f>
        <v>2.3827265911038684</v>
      </c>
      <c r="J53" s="127">
        <f>(((E6+E8-E10)/E5)+((F6+F8-F10)/F5)+((G6+G8-G10)/G5))*0.33*100</f>
        <v>2.3827265911038684</v>
      </c>
      <c r="K53" s="127">
        <f>(((J6+J8-J10)/J5)+((G6+G8-G10)/G5)+((H6+H8-H10)/H5))*0.33*100</f>
        <v>1.6890265158054814</v>
      </c>
      <c r="L53" s="127">
        <f>((K6+K8-K10)/K5+(J6+J8-J10)/J5+(G6+G8-G10)/G5)*0.33*100</f>
        <v>1.571687126687518</v>
      </c>
      <c r="M53" s="127">
        <f>((K6+K8-K10)/K5+(L6+L8-L10)/L5+(J6+J8-J10)/J5)*0.33*100</f>
        <v>4.63584377581988</v>
      </c>
      <c r="N53" s="127">
        <f>((K6+K8-K10)/K5+(L6+L8-L10)/L5+(M6+M8-M10)/M5)*0.33*100</f>
        <v>5.95026267500005</v>
      </c>
      <c r="O53" s="127">
        <f aca="true" t="shared" si="18" ref="O53:W53">(((L6+L8-L10)/L5)+((M6+M8-M10)/M5)+((N6+N8-N10)/N5))*0.33*100</f>
        <v>10.02395043621953</v>
      </c>
      <c r="P53" s="127">
        <f t="shared" si="18"/>
        <v>11.181787222222223</v>
      </c>
      <c r="Q53" s="127">
        <f t="shared" si="18"/>
        <v>12.719464745927548</v>
      </c>
      <c r="R53" s="127">
        <f t="shared" si="18"/>
        <v>11.998022727489897</v>
      </c>
      <c r="S53" s="127">
        <f t="shared" si="18"/>
        <v>12.246007308987693</v>
      </c>
      <c r="T53" s="127">
        <f t="shared" si="18"/>
        <v>11.839756013352542</v>
      </c>
      <c r="U53" s="127">
        <f t="shared" si="18"/>
        <v>11.669168792024113</v>
      </c>
      <c r="V53" s="127">
        <f t="shared" si="18"/>
        <v>11.176117838844899</v>
      </c>
      <c r="W53" s="124">
        <f t="shared" si="18"/>
        <v>10.786293277441391</v>
      </c>
      <c r="X53" s="149"/>
    </row>
    <row r="54" spans="2:24" ht="26.25" customHeight="1">
      <c r="B54" s="170" t="s">
        <v>101</v>
      </c>
      <c r="C54" s="128" t="s">
        <v>67</v>
      </c>
      <c r="D54" s="129" t="s">
        <v>67</v>
      </c>
      <c r="E54" s="129" t="s">
        <v>67</v>
      </c>
      <c r="F54" s="161">
        <f aca="true" t="shared" si="19" ref="F54:W54">F36/F5*100</f>
        <v>8.150257273824034</v>
      </c>
      <c r="G54" s="162">
        <f t="shared" si="19"/>
        <v>8.415445208001525</v>
      </c>
      <c r="H54" s="162">
        <f t="shared" si="19"/>
        <v>8.557529047511323</v>
      </c>
      <c r="I54" s="163">
        <f t="shared" si="19"/>
        <v>8.90659774112678</v>
      </c>
      <c r="J54" s="164">
        <f t="shared" si="19"/>
        <v>9.476647213353221</v>
      </c>
      <c r="K54" s="164">
        <f t="shared" si="19"/>
        <v>10.28917695266522</v>
      </c>
      <c r="L54" s="164">
        <f t="shared" si="19"/>
        <v>6.450588156123822</v>
      </c>
      <c r="M54" s="164">
        <f t="shared" si="19"/>
        <v>4.121199409722222</v>
      </c>
      <c r="N54" s="164">
        <f t="shared" si="19"/>
        <v>6.006415888888889</v>
      </c>
      <c r="O54" s="164">
        <f t="shared" si="19"/>
        <v>9.580195833333335</v>
      </c>
      <c r="P54" s="164">
        <f t="shared" si="19"/>
        <v>11.12910284463895</v>
      </c>
      <c r="Q54" s="164">
        <f t="shared" si="19"/>
        <v>8.737991266375547</v>
      </c>
      <c r="R54" s="164">
        <f t="shared" si="19"/>
        <v>7.709251101321586</v>
      </c>
      <c r="S54" s="164">
        <f t="shared" si="19"/>
        <v>7.236842105263158</v>
      </c>
      <c r="T54" s="164">
        <f t="shared" si="19"/>
        <v>6.359649122807018</v>
      </c>
      <c r="U54" s="164">
        <f t="shared" si="19"/>
        <v>5.04424778761062</v>
      </c>
      <c r="V54" s="164">
        <f t="shared" si="19"/>
        <v>4.835555555555556</v>
      </c>
      <c r="W54" s="161">
        <f t="shared" si="19"/>
        <v>1.4695639555555555</v>
      </c>
      <c r="X54" s="149"/>
    </row>
    <row r="55" spans="2:24" ht="54" customHeight="1">
      <c r="B55" s="130" t="s">
        <v>68</v>
      </c>
      <c r="C55" s="171"/>
      <c r="D55" s="169"/>
      <c r="E55" s="169"/>
      <c r="F55" s="125"/>
      <c r="G55" s="125"/>
      <c r="H55" s="125"/>
      <c r="I55" s="125"/>
      <c r="J55" s="125"/>
      <c r="K55" s="125"/>
      <c r="L55" s="125"/>
      <c r="M55" s="125" t="s">
        <v>76</v>
      </c>
      <c r="N55" s="125" t="s">
        <v>76</v>
      </c>
      <c r="O55" s="125" t="s">
        <v>76</v>
      </c>
      <c r="P55" s="125" t="s">
        <v>76</v>
      </c>
      <c r="Q55" s="125" t="s">
        <v>76</v>
      </c>
      <c r="R55" s="125" t="s">
        <v>76</v>
      </c>
      <c r="S55" s="125" t="s">
        <v>76</v>
      </c>
      <c r="T55" s="125" t="s">
        <v>76</v>
      </c>
      <c r="U55" s="125" t="s">
        <v>76</v>
      </c>
      <c r="V55" s="125" t="s">
        <v>76</v>
      </c>
      <c r="W55" s="192" t="s">
        <v>76</v>
      </c>
      <c r="X55" s="149"/>
    </row>
    <row r="56" spans="2:24" ht="36" customHeight="1">
      <c r="B56" s="165" t="s">
        <v>69</v>
      </c>
      <c r="C56" s="166">
        <v>-2010164.25</v>
      </c>
      <c r="D56" s="158">
        <v>-5652541.8</v>
      </c>
      <c r="E56" s="158">
        <f>D56+E12</f>
        <v>-9903204.86</v>
      </c>
      <c r="F56" s="167">
        <f>E56+F12</f>
        <v>-14164083.440000001</v>
      </c>
      <c r="G56" s="158">
        <f>E56+G12</f>
        <v>-13632704.23</v>
      </c>
      <c r="H56" s="158">
        <f>F56+H12</f>
        <v>-16766743.21</v>
      </c>
      <c r="I56" s="168">
        <f>G56+I12</f>
        <v>-15556018.25</v>
      </c>
      <c r="J56" s="158">
        <f>G56+J12</f>
        <v>-14706621.120000001</v>
      </c>
      <c r="K56" s="158">
        <f aca="true" t="shared" si="20" ref="K56:W56">J56+K12</f>
        <v>-18845247.729999997</v>
      </c>
      <c r="L56" s="158">
        <f t="shared" si="20"/>
        <v>-17745435.889999997</v>
      </c>
      <c r="M56" s="158">
        <f t="shared" si="20"/>
        <v>-16163651.889999997</v>
      </c>
      <c r="N56" s="167">
        <f t="shared" si="20"/>
        <v>-14063651.889999997</v>
      </c>
      <c r="O56" s="167">
        <f t="shared" si="20"/>
        <v>-11863651.889999997</v>
      </c>
      <c r="P56" s="167">
        <f t="shared" si="20"/>
        <v>-9601651.889999997</v>
      </c>
      <c r="Q56" s="167">
        <f t="shared" si="20"/>
        <v>-7650651.889999997</v>
      </c>
      <c r="R56" s="167">
        <f t="shared" si="20"/>
        <v>-5850651.889999997</v>
      </c>
      <c r="S56" s="167">
        <f t="shared" si="20"/>
        <v>-4100651.889999997</v>
      </c>
      <c r="T56" s="167">
        <f t="shared" si="20"/>
        <v>-2600651.889999997</v>
      </c>
      <c r="U56" s="167">
        <f t="shared" si="20"/>
        <v>-1380651.8899999969</v>
      </c>
      <c r="V56" s="167">
        <f t="shared" si="20"/>
        <v>-330651.88999999687</v>
      </c>
      <c r="W56" s="167">
        <f t="shared" si="20"/>
        <v>3.725290298461914E-09</v>
      </c>
      <c r="X56" s="149"/>
    </row>
    <row r="57" spans="2:24" ht="12.75">
      <c r="B57" s="131" t="s">
        <v>70</v>
      </c>
      <c r="C57" s="132">
        <f>C47+C56</f>
        <v>638250.0099999998</v>
      </c>
      <c r="D57" s="132">
        <f>D47+D56</f>
        <v>265888.6500000004</v>
      </c>
      <c r="E57" s="132">
        <f>E47+E56</f>
        <v>13876.929999999702</v>
      </c>
      <c r="F57" s="132">
        <f>F47+F56</f>
        <v>13876.92999999784</v>
      </c>
      <c r="G57" s="21">
        <f>G56+G47</f>
        <v>128056.55999999866</v>
      </c>
      <c r="H57" s="21">
        <v>128056.56</v>
      </c>
      <c r="I57" s="21">
        <f aca="true" t="shared" si="21" ref="I57:W57">I56+I47</f>
        <v>128056.55999999866</v>
      </c>
      <c r="J57" s="21">
        <f t="shared" si="21"/>
        <v>236821.3299999982</v>
      </c>
      <c r="K57" s="21">
        <f t="shared" si="21"/>
        <v>0</v>
      </c>
      <c r="L57" s="32">
        <f t="shared" si="21"/>
        <v>0</v>
      </c>
      <c r="M57" s="32">
        <f t="shared" si="21"/>
        <v>0</v>
      </c>
      <c r="N57" s="32">
        <f t="shared" si="21"/>
        <v>0</v>
      </c>
      <c r="O57" s="32">
        <f t="shared" si="21"/>
        <v>0</v>
      </c>
      <c r="P57" s="32">
        <f t="shared" si="21"/>
        <v>0</v>
      </c>
      <c r="Q57" s="32">
        <f t="shared" si="21"/>
        <v>0</v>
      </c>
      <c r="R57" s="32">
        <f t="shared" si="21"/>
        <v>0</v>
      </c>
      <c r="S57" s="32">
        <f t="shared" si="21"/>
        <v>0</v>
      </c>
      <c r="T57" s="32">
        <f t="shared" si="21"/>
        <v>0</v>
      </c>
      <c r="U57" s="32">
        <f t="shared" si="21"/>
        <v>0</v>
      </c>
      <c r="V57" s="32">
        <f t="shared" si="21"/>
        <v>0</v>
      </c>
      <c r="W57" s="28">
        <f t="shared" si="21"/>
        <v>5.820766091346741E-10</v>
      </c>
      <c r="X57" s="149"/>
    </row>
    <row r="58" spans="2:24" ht="12.75">
      <c r="B58" s="131" t="s">
        <v>99</v>
      </c>
      <c r="C58" s="132">
        <f aca="true" t="shared" si="22" ref="C58:W58">C5+C14</f>
        <v>27055017.43</v>
      </c>
      <c r="D58" s="132">
        <f t="shared" si="22"/>
        <v>25598690.95</v>
      </c>
      <c r="E58" s="132">
        <f t="shared" si="22"/>
        <v>24906406.28</v>
      </c>
      <c r="F58" s="132">
        <f t="shared" si="22"/>
        <v>30223874.29</v>
      </c>
      <c r="G58" s="132">
        <f t="shared" si="22"/>
        <v>26569378.11</v>
      </c>
      <c r="H58" s="132">
        <f t="shared" si="22"/>
        <v>27988321.2</v>
      </c>
      <c r="I58" s="132">
        <f t="shared" si="22"/>
        <v>26630334.45</v>
      </c>
      <c r="J58" s="132">
        <f t="shared" si="22"/>
        <v>25568759.06</v>
      </c>
      <c r="K58" s="132">
        <f t="shared" si="22"/>
        <v>31745999.71</v>
      </c>
      <c r="L58" s="132">
        <f t="shared" si="22"/>
        <v>30720000</v>
      </c>
      <c r="M58" s="132">
        <f t="shared" si="22"/>
        <v>28800000</v>
      </c>
      <c r="N58" s="132">
        <f t="shared" si="22"/>
        <v>27000000</v>
      </c>
      <c r="O58" s="132">
        <f t="shared" si="22"/>
        <v>24000000</v>
      </c>
      <c r="P58" s="132">
        <f t="shared" si="22"/>
        <v>22850000</v>
      </c>
      <c r="Q58" s="132">
        <f t="shared" si="22"/>
        <v>22900000</v>
      </c>
      <c r="R58" s="132">
        <f t="shared" si="22"/>
        <v>22700000</v>
      </c>
      <c r="S58" s="132">
        <f t="shared" si="22"/>
        <v>22800000</v>
      </c>
      <c r="T58" s="132">
        <f t="shared" si="22"/>
        <v>22800000</v>
      </c>
      <c r="U58" s="132">
        <f t="shared" si="22"/>
        <v>22600000</v>
      </c>
      <c r="V58" s="132">
        <f t="shared" si="22"/>
        <v>22500000</v>
      </c>
      <c r="W58" s="132">
        <f t="shared" si="22"/>
        <v>22500000</v>
      </c>
      <c r="X58" s="149"/>
    </row>
    <row r="59" spans="2:24" ht="12.75">
      <c r="B59" s="131" t="s">
        <v>71</v>
      </c>
      <c r="C59" s="132">
        <f aca="true" t="shared" si="23" ref="C59:W59">C9+C24</f>
        <v>26416767.42</v>
      </c>
      <c r="D59" s="132">
        <f t="shared" si="23"/>
        <v>24694552.290000003</v>
      </c>
      <c r="E59" s="132">
        <f t="shared" si="23"/>
        <v>24892529.96</v>
      </c>
      <c r="F59" s="132">
        <f t="shared" si="23"/>
        <v>30223874.290000003</v>
      </c>
      <c r="G59" s="132">
        <f t="shared" si="23"/>
        <v>26441321.549999997</v>
      </c>
      <c r="H59" s="132">
        <f t="shared" si="23"/>
        <v>27988321.2</v>
      </c>
      <c r="I59" s="132">
        <f t="shared" si="23"/>
        <v>26630334.45</v>
      </c>
      <c r="J59" s="132">
        <f t="shared" si="23"/>
        <v>25676937.73</v>
      </c>
      <c r="K59" s="132">
        <f t="shared" si="23"/>
        <v>31745999.709999997</v>
      </c>
      <c r="L59" s="132">
        <f t="shared" si="23"/>
        <v>30720000</v>
      </c>
      <c r="M59" s="132">
        <f t="shared" si="23"/>
        <v>28800000</v>
      </c>
      <c r="N59" s="132">
        <f t="shared" si="23"/>
        <v>27000000</v>
      </c>
      <c r="O59" s="132">
        <f t="shared" si="23"/>
        <v>24000000</v>
      </c>
      <c r="P59" s="132">
        <f t="shared" si="23"/>
        <v>22850000</v>
      </c>
      <c r="Q59" s="132">
        <f t="shared" si="23"/>
        <v>22900000</v>
      </c>
      <c r="R59" s="132">
        <f t="shared" si="23"/>
        <v>22700000</v>
      </c>
      <c r="S59" s="132">
        <f t="shared" si="23"/>
        <v>22800000</v>
      </c>
      <c r="T59" s="132">
        <f t="shared" si="23"/>
        <v>22800000</v>
      </c>
      <c r="U59" s="132">
        <f t="shared" si="23"/>
        <v>22600000</v>
      </c>
      <c r="V59" s="132">
        <f t="shared" si="23"/>
        <v>22500000</v>
      </c>
      <c r="W59" s="132">
        <f t="shared" si="23"/>
        <v>22500000</v>
      </c>
      <c r="X59" s="149"/>
    </row>
    <row r="60" spans="2:24" ht="12.75">
      <c r="B60" s="131" t="s">
        <v>72</v>
      </c>
      <c r="C60" s="132">
        <f aca="true" t="shared" si="24" ref="C60:W60">C58-C59</f>
        <v>638250.0099999979</v>
      </c>
      <c r="D60" s="132">
        <f t="shared" si="24"/>
        <v>904138.6599999964</v>
      </c>
      <c r="E60" s="132">
        <f t="shared" si="24"/>
        <v>13876.320000000298</v>
      </c>
      <c r="F60" s="132">
        <f t="shared" si="24"/>
        <v>0</v>
      </c>
      <c r="G60" s="132">
        <f t="shared" si="24"/>
        <v>128056.56000000238</v>
      </c>
      <c r="H60" s="132">
        <f t="shared" si="24"/>
        <v>0</v>
      </c>
      <c r="I60" s="132">
        <f t="shared" si="24"/>
        <v>0</v>
      </c>
      <c r="J60" s="132">
        <f t="shared" si="24"/>
        <v>-108178.67000000179</v>
      </c>
      <c r="K60" s="132">
        <f t="shared" si="24"/>
        <v>0</v>
      </c>
      <c r="L60" s="132">
        <f t="shared" si="24"/>
        <v>0</v>
      </c>
      <c r="M60" s="132">
        <f t="shared" si="24"/>
        <v>0</v>
      </c>
      <c r="N60" s="132">
        <f t="shared" si="24"/>
        <v>0</v>
      </c>
      <c r="O60" s="132">
        <f t="shared" si="24"/>
        <v>0</v>
      </c>
      <c r="P60" s="132">
        <f t="shared" si="24"/>
        <v>0</v>
      </c>
      <c r="Q60" s="132">
        <f t="shared" si="24"/>
        <v>0</v>
      </c>
      <c r="R60" s="132">
        <f t="shared" si="24"/>
        <v>0</v>
      </c>
      <c r="S60" s="132">
        <f t="shared" si="24"/>
        <v>0</v>
      </c>
      <c r="T60" s="132">
        <f t="shared" si="24"/>
        <v>0</v>
      </c>
      <c r="U60" s="132">
        <f t="shared" si="24"/>
        <v>0</v>
      </c>
      <c r="V60" s="132">
        <f t="shared" si="24"/>
        <v>0</v>
      </c>
      <c r="W60" s="132">
        <f t="shared" si="24"/>
        <v>0</v>
      </c>
      <c r="X60" s="149"/>
    </row>
    <row r="61" spans="2:24" ht="12.75">
      <c r="B61" s="131" t="s">
        <v>73</v>
      </c>
      <c r="C61" s="132">
        <f aca="true" t="shared" si="25" ref="C61:W61">C36/C5*100</f>
        <v>1.4287845717481964</v>
      </c>
      <c r="D61" s="132">
        <f t="shared" si="25"/>
        <v>1.8574664740391797</v>
      </c>
      <c r="E61" s="132">
        <f t="shared" si="25"/>
        <v>4.956922825255505</v>
      </c>
      <c r="F61" s="132">
        <f t="shared" si="25"/>
        <v>8.150257273824034</v>
      </c>
      <c r="G61" s="88">
        <f t="shared" si="25"/>
        <v>8.415445208001525</v>
      </c>
      <c r="H61" s="88">
        <f t="shared" si="25"/>
        <v>8.557529047511323</v>
      </c>
      <c r="I61" s="132">
        <f t="shared" si="25"/>
        <v>8.90659774112678</v>
      </c>
      <c r="J61" s="132">
        <f t="shared" si="25"/>
        <v>9.476647213353221</v>
      </c>
      <c r="K61" s="132">
        <f t="shared" si="25"/>
        <v>10.28917695266522</v>
      </c>
      <c r="L61" s="132">
        <f t="shared" si="25"/>
        <v>6.450588156123822</v>
      </c>
      <c r="M61" s="132">
        <f t="shared" si="25"/>
        <v>4.121199409722222</v>
      </c>
      <c r="N61" s="132">
        <f t="shared" si="25"/>
        <v>6.006415888888889</v>
      </c>
      <c r="O61" s="132">
        <f t="shared" si="25"/>
        <v>9.580195833333335</v>
      </c>
      <c r="P61" s="132">
        <f t="shared" si="25"/>
        <v>11.12910284463895</v>
      </c>
      <c r="Q61" s="132">
        <f t="shared" si="25"/>
        <v>8.737991266375547</v>
      </c>
      <c r="R61" s="132">
        <f t="shared" si="25"/>
        <v>7.709251101321586</v>
      </c>
      <c r="S61" s="132">
        <f t="shared" si="25"/>
        <v>7.236842105263158</v>
      </c>
      <c r="T61" s="132">
        <f t="shared" si="25"/>
        <v>6.359649122807018</v>
      </c>
      <c r="U61" s="132">
        <f t="shared" si="25"/>
        <v>5.04424778761062</v>
      </c>
      <c r="V61" s="132">
        <f t="shared" si="25"/>
        <v>4.835555555555556</v>
      </c>
      <c r="W61" s="132">
        <f t="shared" si="25"/>
        <v>1.4695639555555555</v>
      </c>
      <c r="X61" s="149"/>
    </row>
    <row r="62" spans="1:24" ht="33.75" hidden="1">
      <c r="A62">
        <v>6357</v>
      </c>
      <c r="B62" s="131" t="s">
        <v>74</v>
      </c>
      <c r="C62" s="134"/>
      <c r="D62" s="134"/>
      <c r="E62" s="134"/>
      <c r="F62" s="135"/>
      <c r="G62" s="136">
        <v>2010</v>
      </c>
      <c r="H62" s="136"/>
      <c r="I62" s="137" t="s">
        <v>75</v>
      </c>
      <c r="J62" s="137">
        <v>2011</v>
      </c>
      <c r="K62" s="137" t="s">
        <v>76</v>
      </c>
      <c r="L62" s="135" t="s">
        <v>76</v>
      </c>
      <c r="M62" s="135" t="s">
        <v>75</v>
      </c>
      <c r="N62" s="135" t="s">
        <v>75</v>
      </c>
      <c r="O62" s="136"/>
      <c r="P62" s="136"/>
      <c r="Q62" s="136"/>
      <c r="R62" s="136"/>
      <c r="S62" s="136"/>
      <c r="T62" s="136"/>
      <c r="U62" s="136"/>
      <c r="V62" s="136"/>
      <c r="W62" s="193"/>
      <c r="X62" s="149"/>
    </row>
    <row r="63" spans="2:24" ht="33.75" hidden="1">
      <c r="B63" s="131" t="s">
        <v>77</v>
      </c>
      <c r="C63" s="134" t="s">
        <v>78</v>
      </c>
      <c r="D63" s="134"/>
      <c r="E63" s="134"/>
      <c r="F63" s="135"/>
      <c r="G63" s="136"/>
      <c r="H63" s="136"/>
      <c r="I63" s="137"/>
      <c r="J63" s="137"/>
      <c r="K63" s="137"/>
      <c r="L63" s="135"/>
      <c r="M63" s="135"/>
      <c r="N63" s="135"/>
      <c r="O63" s="136"/>
      <c r="P63" s="136"/>
      <c r="Q63" s="136"/>
      <c r="R63" s="136"/>
      <c r="S63" s="136"/>
      <c r="T63" s="136"/>
      <c r="U63" s="136"/>
      <c r="V63" s="136"/>
      <c r="W63" s="193"/>
      <c r="X63" s="149"/>
    </row>
    <row r="64" spans="2:24" ht="12.75" hidden="1">
      <c r="B64" s="131" t="s">
        <v>79</v>
      </c>
      <c r="C64" s="134" t="s">
        <v>80</v>
      </c>
      <c r="D64" s="134"/>
      <c r="E64" s="134"/>
      <c r="F64" s="135"/>
      <c r="G64" s="136"/>
      <c r="H64" s="136"/>
      <c r="I64" s="137"/>
      <c r="J64" s="137"/>
      <c r="K64" s="137"/>
      <c r="L64" s="135"/>
      <c r="M64" s="135"/>
      <c r="N64" s="135"/>
      <c r="O64" s="136"/>
      <c r="P64" s="136"/>
      <c r="Q64" s="136"/>
      <c r="R64" s="136"/>
      <c r="S64" s="136"/>
      <c r="T64" s="136"/>
      <c r="U64" s="136"/>
      <c r="V64" s="136"/>
      <c r="W64" s="193"/>
      <c r="X64" s="149"/>
    </row>
    <row r="65" spans="2:24" ht="22.5" hidden="1">
      <c r="B65" s="131" t="s">
        <v>81</v>
      </c>
      <c r="C65" s="134"/>
      <c r="D65" s="134"/>
      <c r="E65" s="134"/>
      <c r="F65" s="134"/>
      <c r="G65" s="10"/>
      <c r="H65" s="10"/>
      <c r="I65" s="134"/>
      <c r="J65" s="134"/>
      <c r="K65" s="134"/>
      <c r="L65" s="134"/>
      <c r="M65" s="134"/>
      <c r="N65" s="134"/>
      <c r="O65" s="10"/>
      <c r="P65" s="10"/>
      <c r="Q65" s="10"/>
      <c r="R65" s="10"/>
      <c r="S65" s="10"/>
      <c r="T65" s="10"/>
      <c r="U65" s="10"/>
      <c r="V65" s="10"/>
      <c r="W65" s="57"/>
      <c r="X65" s="149"/>
    </row>
    <row r="66" spans="2:24" ht="12.75" hidden="1">
      <c r="B66" s="131"/>
      <c r="C66" s="134"/>
      <c r="D66" s="138">
        <v>2008</v>
      </c>
      <c r="E66" s="138">
        <v>2009</v>
      </c>
      <c r="F66" s="138"/>
      <c r="G66" s="139">
        <v>2010</v>
      </c>
      <c r="H66" s="140" t="s">
        <v>82</v>
      </c>
      <c r="I66" s="137"/>
      <c r="J66" s="137" t="s">
        <v>83</v>
      </c>
      <c r="K66" s="137">
        <v>2012</v>
      </c>
      <c r="L66" s="138">
        <v>2013</v>
      </c>
      <c r="M66" s="138">
        <v>2014</v>
      </c>
      <c r="N66" s="138">
        <v>2015</v>
      </c>
      <c r="O66" s="139">
        <v>2016</v>
      </c>
      <c r="P66" s="139">
        <v>2017</v>
      </c>
      <c r="Q66" s="139">
        <v>2018</v>
      </c>
      <c r="R66" s="10"/>
      <c r="S66" s="10"/>
      <c r="T66" s="10"/>
      <c r="U66" s="10"/>
      <c r="V66" s="10"/>
      <c r="W66" s="57"/>
      <c r="X66" s="149"/>
    </row>
    <row r="67" spans="2:24" ht="22.5" hidden="1">
      <c r="B67" s="131" t="s">
        <v>84</v>
      </c>
      <c r="C67" s="141">
        <f aca="true" t="shared" si="26" ref="C67:S67">(C6+C8-C10)/C5*100</f>
        <v>8.823271114035714</v>
      </c>
      <c r="D67" s="141">
        <f t="shared" si="26"/>
        <v>10.002710790646844</v>
      </c>
      <c r="E67" s="141">
        <f t="shared" si="26"/>
        <v>5.909003419631934</v>
      </c>
      <c r="F67" s="141">
        <f t="shared" si="26"/>
        <v>2.521966356849647</v>
      </c>
      <c r="G67" s="141">
        <f t="shared" si="26"/>
        <v>-1.2105861670759195</v>
      </c>
      <c r="H67" s="141">
        <f t="shared" si="26"/>
        <v>2.336991465012237</v>
      </c>
      <c r="I67" s="141">
        <f t="shared" si="26"/>
        <v>3.3777865670622083</v>
      </c>
      <c r="J67" s="141">
        <f t="shared" si="26"/>
        <v>3.9918568711712012</v>
      </c>
      <c r="K67" s="141">
        <f t="shared" si="26"/>
        <v>1.9814175585941678</v>
      </c>
      <c r="L67" s="141">
        <f t="shared" si="26"/>
        <v>8.074737012113054</v>
      </c>
      <c r="M67" s="141">
        <f t="shared" si="26"/>
        <v>7.974944444444445</v>
      </c>
      <c r="N67" s="141">
        <f t="shared" si="26"/>
        <v>14.325925925925926</v>
      </c>
      <c r="O67" s="141">
        <f t="shared" si="26"/>
        <v>11.583333333333332</v>
      </c>
      <c r="P67" s="141">
        <f t="shared" si="26"/>
        <v>12.634573304157549</v>
      </c>
      <c r="Q67" s="141">
        <f t="shared" si="26"/>
        <v>12.139737991266376</v>
      </c>
      <c r="R67" s="141">
        <f t="shared" si="26"/>
        <v>12.334801762114537</v>
      </c>
      <c r="S67" s="141">
        <f t="shared" si="26"/>
        <v>11.403508771929824</v>
      </c>
      <c r="T67" s="141"/>
      <c r="U67" s="141"/>
      <c r="V67" s="141"/>
      <c r="W67" s="142">
        <f>(W6+W8-W10)/W5*100</f>
        <v>6.580675066666669</v>
      </c>
      <c r="X67" s="149"/>
    </row>
    <row r="68" spans="2:24" ht="21" customHeight="1" hidden="1">
      <c r="B68" s="134"/>
      <c r="C68" s="142"/>
      <c r="D68" s="141"/>
      <c r="E68" s="141"/>
      <c r="F68" s="141"/>
      <c r="G68" s="143"/>
      <c r="H68" s="143"/>
      <c r="I68" s="141"/>
      <c r="J68" s="144">
        <f>G67+E67+D67</f>
        <v>14.701128043202859</v>
      </c>
      <c r="K68" s="144">
        <f>H67+G67+E67</f>
        <v>7.035408717568251</v>
      </c>
      <c r="L68" s="144">
        <f>K67+J67+G67</f>
        <v>4.76268826268945</v>
      </c>
      <c r="M68" s="144">
        <f>L68+K68+J68</f>
        <v>26.49922502346056</v>
      </c>
      <c r="N68" s="144">
        <f>M68+L68+K68</f>
        <v>38.297322003718264</v>
      </c>
      <c r="O68" s="143">
        <f>N67+M67+L67</f>
        <v>30.375607382483423</v>
      </c>
      <c r="P68" s="143">
        <f>O67+N67+M67</f>
        <v>33.884203703703704</v>
      </c>
      <c r="Q68" s="143">
        <f>P67+O67+N67</f>
        <v>38.54383256341681</v>
      </c>
      <c r="R68" s="143">
        <f>Q67+P67+O67</f>
        <v>36.35764462875726</v>
      </c>
      <c r="S68" s="143">
        <f>R67+Q67+P67</f>
        <v>37.109113057538465</v>
      </c>
      <c r="T68" s="143"/>
      <c r="U68" s="143"/>
      <c r="V68" s="143"/>
      <c r="W68" s="194"/>
      <c r="X68" s="149"/>
    </row>
    <row r="69" spans="2:24" ht="21" customHeight="1" hidden="1">
      <c r="B69" s="134" t="s">
        <v>85</v>
      </c>
      <c r="C69" s="142"/>
      <c r="D69" s="141"/>
      <c r="E69" s="141"/>
      <c r="F69" s="141"/>
      <c r="G69" s="143"/>
      <c r="H69" s="143"/>
      <c r="I69" s="141"/>
      <c r="J69" s="144">
        <f aca="true" t="shared" si="27" ref="J69:S69">J68*33%</f>
        <v>4.851372254256944</v>
      </c>
      <c r="K69" s="144">
        <f t="shared" si="27"/>
        <v>2.321684876797523</v>
      </c>
      <c r="L69" s="144">
        <f t="shared" si="27"/>
        <v>1.5716871266875185</v>
      </c>
      <c r="M69" s="144">
        <f t="shared" si="27"/>
        <v>8.744744257741985</v>
      </c>
      <c r="N69" s="144">
        <f t="shared" si="27"/>
        <v>12.638116261227028</v>
      </c>
      <c r="O69" s="144">
        <f t="shared" si="27"/>
        <v>10.02395043621953</v>
      </c>
      <c r="P69" s="144">
        <f t="shared" si="27"/>
        <v>11.181787222222223</v>
      </c>
      <c r="Q69" s="144">
        <f t="shared" si="27"/>
        <v>12.719464745927548</v>
      </c>
      <c r="R69" s="144">
        <f t="shared" si="27"/>
        <v>11.998022727489895</v>
      </c>
      <c r="S69" s="144">
        <f t="shared" si="27"/>
        <v>12.246007308987695</v>
      </c>
      <c r="T69" s="145"/>
      <c r="U69" s="145"/>
      <c r="V69" s="145"/>
      <c r="W69" s="145"/>
      <c r="X69" s="149"/>
    </row>
    <row r="70" spans="2:24" ht="20.25" customHeight="1" hidden="1">
      <c r="B70" s="134" t="s">
        <v>86</v>
      </c>
      <c r="C70" s="142"/>
      <c r="D70" s="141">
        <f>C67+D67+E67</f>
        <v>24.73498532431449</v>
      </c>
      <c r="E70" s="141"/>
      <c r="F70" s="141">
        <f>F67+E67+D67</f>
        <v>18.433680567128427</v>
      </c>
      <c r="G70" s="143">
        <f>G67+F67+E67</f>
        <v>7.220383609405662</v>
      </c>
      <c r="H70" s="143">
        <f>H67+G67+F67</f>
        <v>3.6483716547859646</v>
      </c>
      <c r="I70" s="141">
        <f>I67+G67+F67</f>
        <v>4.689166756835936</v>
      </c>
      <c r="J70" s="141">
        <f>J67+H67+G67</f>
        <v>5.118262169107519</v>
      </c>
      <c r="K70" s="141">
        <f>H67+G67+F67</f>
        <v>3.6483716547859646</v>
      </c>
      <c r="L70" s="141">
        <f>K67+J67+H67</f>
        <v>8.310265894777606</v>
      </c>
      <c r="M70" s="141">
        <f>L67+K67+J67</f>
        <v>14.048011441878423</v>
      </c>
      <c r="N70" s="141" t="e">
        <f>M67+#REF!+K67</f>
        <v>#REF!</v>
      </c>
      <c r="O70" s="141" t="e">
        <f>N67+L67+#REF!</f>
        <v>#REF!</v>
      </c>
      <c r="P70" s="141">
        <f>O67+M67+L67</f>
        <v>27.63301478989083</v>
      </c>
      <c r="Q70" s="141">
        <f>P67+N67+M67</f>
        <v>34.93544367452792</v>
      </c>
      <c r="R70" s="141">
        <f>Q67+O67+N67</f>
        <v>38.04899725052563</v>
      </c>
      <c r="S70" s="141">
        <f>R67+P67+O67</f>
        <v>36.55270839960542</v>
      </c>
      <c r="T70" s="141"/>
      <c r="U70" s="141"/>
      <c r="V70" s="141"/>
      <c r="W70" s="141">
        <f>W67+S67+R67</f>
        <v>30.31898560071103</v>
      </c>
      <c r="X70" s="149"/>
    </row>
    <row r="71" spans="2:24" ht="21" customHeight="1" hidden="1">
      <c r="B71" s="134" t="s">
        <v>87</v>
      </c>
      <c r="C71" s="142"/>
      <c r="D71" s="141">
        <f>D70*0.33</f>
        <v>8.162545157023782</v>
      </c>
      <c r="E71" s="141"/>
      <c r="F71" s="141">
        <f>F70*0.33</f>
        <v>6.083114587152381</v>
      </c>
      <c r="G71" s="146">
        <f>G70*0.33</f>
        <v>2.3827265911038684</v>
      </c>
      <c r="H71" s="146">
        <f>H70*0.33</f>
        <v>1.2039626460793684</v>
      </c>
      <c r="I71" s="147"/>
      <c r="J71" s="147">
        <f aca="true" t="shared" si="28" ref="J71:S71">J70*0.33</f>
        <v>1.6890265158054814</v>
      </c>
      <c r="K71" s="147">
        <f t="shared" si="28"/>
        <v>1.2039626460793684</v>
      </c>
      <c r="L71" s="147">
        <f t="shared" si="28"/>
        <v>2.74238774527661</v>
      </c>
      <c r="M71" s="147">
        <f t="shared" si="28"/>
        <v>4.63584377581988</v>
      </c>
      <c r="N71" s="147" t="e">
        <f t="shared" si="28"/>
        <v>#REF!</v>
      </c>
      <c r="O71" s="141" t="e">
        <f t="shared" si="28"/>
        <v>#REF!</v>
      </c>
      <c r="P71" s="141">
        <f t="shared" si="28"/>
        <v>9.118894880663975</v>
      </c>
      <c r="Q71" s="141">
        <f t="shared" si="28"/>
        <v>11.528696412594213</v>
      </c>
      <c r="R71" s="141">
        <f t="shared" si="28"/>
        <v>12.556169092673459</v>
      </c>
      <c r="S71" s="141">
        <f t="shared" si="28"/>
        <v>12.06239377186979</v>
      </c>
      <c r="T71" s="141"/>
      <c r="U71" s="141"/>
      <c r="V71" s="141"/>
      <c r="W71" s="141">
        <f>W70*0.33</f>
        <v>10.005265248234641</v>
      </c>
      <c r="X71" s="149"/>
    </row>
    <row r="72" spans="2:24" ht="22.5" customHeight="1" hidden="1">
      <c r="B72" s="134" t="s">
        <v>88</v>
      </c>
      <c r="C72" s="134"/>
      <c r="D72" s="141"/>
      <c r="E72" s="141"/>
      <c r="F72" s="141"/>
      <c r="G72" s="148">
        <f>(G36)/G5*100</f>
        <v>8.415445208001525</v>
      </c>
      <c r="H72" s="148">
        <f>(H36)/H5*100</f>
        <v>8.557529047511323</v>
      </c>
      <c r="I72" s="144"/>
      <c r="J72" s="144">
        <f aca="true" t="shared" si="29" ref="J72:R72">(J36)/J5*100</f>
        <v>9.476647213353221</v>
      </c>
      <c r="K72" s="144">
        <f t="shared" si="29"/>
        <v>10.28917695266522</v>
      </c>
      <c r="L72" s="144">
        <f t="shared" si="29"/>
        <v>6.450588156123822</v>
      </c>
      <c r="M72" s="144">
        <f t="shared" si="29"/>
        <v>4.121199409722222</v>
      </c>
      <c r="N72" s="144">
        <f t="shared" si="29"/>
        <v>6.006415888888889</v>
      </c>
      <c r="O72" s="144">
        <f t="shared" si="29"/>
        <v>9.580195833333335</v>
      </c>
      <c r="P72" s="144">
        <f t="shared" si="29"/>
        <v>11.12910284463895</v>
      </c>
      <c r="Q72" s="144">
        <f t="shared" si="29"/>
        <v>8.737991266375547</v>
      </c>
      <c r="R72" s="144">
        <f t="shared" si="29"/>
        <v>7.709251101321586</v>
      </c>
      <c r="S72" s="144">
        <f>(S36)/S5</f>
        <v>0.07236842105263158</v>
      </c>
      <c r="T72" s="144"/>
      <c r="U72" s="144"/>
      <c r="V72" s="144"/>
      <c r="W72" s="144">
        <f>(W36)/W5</f>
        <v>0.014695639555555556</v>
      </c>
      <c r="X72" s="149"/>
    </row>
    <row r="73" spans="2:24" ht="12.75" hidden="1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33"/>
      <c r="U73" s="133"/>
      <c r="V73" s="133"/>
      <c r="W73" s="134"/>
      <c r="X73" s="149"/>
    </row>
    <row r="74" spans="7:24" ht="12.75" hidden="1">
      <c r="G74">
        <v>2011</v>
      </c>
      <c r="I74">
        <v>2012</v>
      </c>
      <c r="K74">
        <v>2013</v>
      </c>
      <c r="L74">
        <v>2014</v>
      </c>
      <c r="M74">
        <v>2015</v>
      </c>
      <c r="N74">
        <v>2016</v>
      </c>
      <c r="O74">
        <v>2017</v>
      </c>
      <c r="P74">
        <v>2018</v>
      </c>
      <c r="X74" s="149"/>
    </row>
    <row r="75" spans="6:24" ht="12.75" hidden="1"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>
        <v>30</v>
      </c>
      <c r="Q75" s="149"/>
      <c r="X75" s="149"/>
    </row>
    <row r="76" spans="6:24" ht="12.75" hidden="1">
      <c r="F76" s="149"/>
      <c r="G76" s="149">
        <v>73</v>
      </c>
      <c r="H76" s="149"/>
      <c r="I76" s="149"/>
      <c r="J76" s="149"/>
      <c r="K76" s="149">
        <v>35</v>
      </c>
      <c r="L76" s="149">
        <v>60</v>
      </c>
      <c r="M76" s="149">
        <v>100</v>
      </c>
      <c r="N76" s="149">
        <v>140</v>
      </c>
      <c r="O76" s="149">
        <v>131</v>
      </c>
      <c r="P76" s="149">
        <f>SUM(G76:O76)</f>
        <v>539</v>
      </c>
      <c r="Q76" s="149"/>
      <c r="X76" s="149"/>
    </row>
    <row r="77" spans="6:24" ht="12.75" hidden="1"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>
        <v>413</v>
      </c>
      <c r="Q77" s="149"/>
      <c r="X77" s="149"/>
    </row>
    <row r="78" spans="6:24" ht="12.75" hidden="1">
      <c r="F78" s="150" t="s">
        <v>89</v>
      </c>
      <c r="G78" s="150">
        <f>SUM(G75:G77)</f>
        <v>73</v>
      </c>
      <c r="H78" s="150"/>
      <c r="I78" s="150"/>
      <c r="J78" s="150"/>
      <c r="K78" s="150">
        <f>SUM(K76:K77)</f>
        <v>35</v>
      </c>
      <c r="L78" s="150">
        <f>SUM(L76:L77)</f>
        <v>60</v>
      </c>
      <c r="M78" s="150">
        <f>SUM(M76:M77)</f>
        <v>100</v>
      </c>
      <c r="N78" s="150">
        <f>SUM(N76:N77)</f>
        <v>140</v>
      </c>
      <c r="O78" s="150">
        <f>SUM(O76:O77)</f>
        <v>131</v>
      </c>
      <c r="P78" s="150">
        <f>SUM(P75:P77)</f>
        <v>982</v>
      </c>
      <c r="Q78" s="149"/>
      <c r="X78" s="149"/>
    </row>
    <row r="79" spans="6:24" ht="12.75" hidden="1">
      <c r="F79" s="149"/>
      <c r="G79" s="149">
        <v>-73</v>
      </c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X79" s="149"/>
    </row>
    <row r="80" spans="6:24" ht="12.75" hidden="1">
      <c r="F80" s="149" t="s">
        <v>90</v>
      </c>
      <c r="G80" s="149"/>
      <c r="H80" s="149"/>
      <c r="I80" s="149"/>
      <c r="J80" s="149"/>
      <c r="K80" s="149">
        <v>35</v>
      </c>
      <c r="L80" s="149">
        <v>60</v>
      </c>
      <c r="M80" s="149">
        <v>100</v>
      </c>
      <c r="N80" s="149">
        <v>140</v>
      </c>
      <c r="O80" s="149">
        <v>131</v>
      </c>
      <c r="P80" s="149">
        <f>SUM(G80:O80)</f>
        <v>466</v>
      </c>
      <c r="Q80" s="149"/>
      <c r="X80" s="149"/>
    </row>
    <row r="81" spans="6:24" ht="12.75" hidden="1">
      <c r="F81" s="149" t="s">
        <v>91</v>
      </c>
      <c r="G81" s="149"/>
      <c r="H81" s="149"/>
      <c r="I81" s="149"/>
      <c r="J81" s="149"/>
      <c r="K81" s="149"/>
      <c r="L81" s="149"/>
      <c r="M81" s="149"/>
      <c r="N81" s="149"/>
      <c r="O81" s="149"/>
      <c r="P81" s="149">
        <v>20</v>
      </c>
      <c r="Q81" s="149"/>
      <c r="X81" s="149"/>
    </row>
    <row r="82" spans="6:24" ht="12.75" hidden="1"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>
        <v>-20</v>
      </c>
      <c r="Q82" s="149"/>
      <c r="X82" s="149"/>
    </row>
    <row r="83" spans="6:24" ht="12.75" hidden="1">
      <c r="F83" s="150" t="s">
        <v>92</v>
      </c>
      <c r="G83" s="150">
        <v>0</v>
      </c>
      <c r="H83" s="150"/>
      <c r="I83" s="150">
        <f>SUM(I80:I82)</f>
        <v>0</v>
      </c>
      <c r="J83" s="150"/>
      <c r="K83" s="150">
        <v>35</v>
      </c>
      <c r="L83" s="150">
        <v>60</v>
      </c>
      <c r="M83" s="150">
        <v>100</v>
      </c>
      <c r="N83" s="150">
        <v>140</v>
      </c>
      <c r="O83" s="150">
        <v>131</v>
      </c>
      <c r="P83" s="150">
        <f>SUM(P80:P82)</f>
        <v>466</v>
      </c>
      <c r="Q83" s="149"/>
      <c r="X83" s="149"/>
    </row>
    <row r="84" spans="6:24" ht="12.75" hidden="1"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49"/>
      <c r="X84" s="149"/>
    </row>
    <row r="85" spans="6:25" ht="12.75" hidden="1">
      <c r="F85" s="151"/>
      <c r="G85" s="151"/>
      <c r="H85" s="151"/>
      <c r="I85" s="151"/>
      <c r="J85" s="151" t="s">
        <v>93</v>
      </c>
      <c r="K85" s="151">
        <v>2012</v>
      </c>
      <c r="L85" s="151">
        <v>2013</v>
      </c>
      <c r="M85" s="151">
        <v>2014</v>
      </c>
      <c r="N85" s="151">
        <v>2015</v>
      </c>
      <c r="O85" s="151">
        <v>2016</v>
      </c>
      <c r="P85" s="151">
        <v>2017</v>
      </c>
      <c r="Q85" s="151">
        <v>2018</v>
      </c>
      <c r="R85" s="151">
        <v>2019</v>
      </c>
      <c r="S85" s="151">
        <v>2020</v>
      </c>
      <c r="T85" s="151"/>
      <c r="U85" s="151"/>
      <c r="V85" s="151"/>
      <c r="W85" s="151">
        <v>2021</v>
      </c>
      <c r="X85" s="150">
        <v>2022</v>
      </c>
      <c r="Y85" s="151">
        <v>2023</v>
      </c>
    </row>
    <row r="86" spans="6:24" ht="12.75" hidden="1"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X86" s="149"/>
    </row>
    <row r="87" spans="2:25" ht="12.75" hidden="1">
      <c r="B87" t="s">
        <v>94</v>
      </c>
      <c r="J87" s="152">
        <v>1703178</v>
      </c>
      <c r="L87" s="152">
        <v>1736174</v>
      </c>
      <c r="M87" s="152">
        <v>2280337</v>
      </c>
      <c r="O87" s="152"/>
      <c r="P87" s="152"/>
      <c r="Q87" s="152"/>
      <c r="R87" s="152"/>
      <c r="S87" s="152"/>
      <c r="T87" s="152"/>
      <c r="U87" s="152"/>
      <c r="V87" s="152"/>
      <c r="W87" s="152"/>
      <c r="X87" s="195"/>
      <c r="Y87" s="152"/>
    </row>
    <row r="88" spans="10:25" ht="12.75" hidden="1">
      <c r="J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95"/>
      <c r="Y88" s="152"/>
    </row>
    <row r="89" spans="10:25" ht="12.75" hidden="1">
      <c r="J89" s="152">
        <v>533704</v>
      </c>
      <c r="K89" s="152"/>
      <c r="L89" s="152">
        <v>483603</v>
      </c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95"/>
      <c r="Y89" s="152"/>
    </row>
    <row r="90" spans="10:25" ht="12.75" hidden="1"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95"/>
      <c r="Y90" s="152"/>
    </row>
    <row r="91" spans="10:25" ht="12.75"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95"/>
      <c r="Y91" s="152"/>
    </row>
    <row r="92" spans="2:25" ht="12.75">
      <c r="B92" s="151" t="s">
        <v>100</v>
      </c>
      <c r="J92" s="173">
        <v>2011</v>
      </c>
      <c r="K92" s="172">
        <v>2012</v>
      </c>
      <c r="L92" s="173">
        <v>2013</v>
      </c>
      <c r="M92" s="173">
        <v>2014</v>
      </c>
      <c r="N92" s="173">
        <v>2015</v>
      </c>
      <c r="O92" s="173">
        <v>2016</v>
      </c>
      <c r="P92" s="173">
        <v>2017</v>
      </c>
      <c r="Q92" s="173">
        <v>2018</v>
      </c>
      <c r="R92" s="173">
        <v>2019</v>
      </c>
      <c r="S92" s="173">
        <v>2020</v>
      </c>
      <c r="T92" s="173">
        <v>2021</v>
      </c>
      <c r="U92" s="173">
        <v>2022</v>
      </c>
      <c r="V92" s="173">
        <v>2023</v>
      </c>
      <c r="W92" s="173">
        <v>2024</v>
      </c>
      <c r="X92" s="195"/>
      <c r="Y92" s="152"/>
    </row>
    <row r="93" spans="2:25" ht="12.75">
      <c r="B93" s="151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95"/>
      <c r="Y93" s="152"/>
    </row>
    <row r="94" spans="2:25" ht="12.75">
      <c r="B94" s="134" t="s">
        <v>102</v>
      </c>
      <c r="J94" s="176">
        <f aca="true" t="shared" si="30" ref="J94:R94">(J6+J8-J10)/J5*100</f>
        <v>3.9918568711712012</v>
      </c>
      <c r="K94" s="176">
        <f t="shared" si="30"/>
        <v>1.9814175585941678</v>
      </c>
      <c r="L94" s="176">
        <f t="shared" si="30"/>
        <v>8.074737012113054</v>
      </c>
      <c r="M94" s="176">
        <f t="shared" si="30"/>
        <v>7.974944444444445</v>
      </c>
      <c r="N94" s="176">
        <f t="shared" si="30"/>
        <v>14.325925925925926</v>
      </c>
      <c r="O94" s="176">
        <f t="shared" si="30"/>
        <v>11.583333333333332</v>
      </c>
      <c r="P94" s="176">
        <f t="shared" si="30"/>
        <v>12.634573304157549</v>
      </c>
      <c r="Q94" s="176">
        <f t="shared" si="30"/>
        <v>12.139737991266376</v>
      </c>
      <c r="R94" s="176">
        <f t="shared" si="30"/>
        <v>12.334801762114537</v>
      </c>
      <c r="S94" s="176">
        <f>(S6+S8-S10)/S5*100</f>
        <v>11.403508771929824</v>
      </c>
      <c r="T94" s="176">
        <f>(T6+T8-T10)/T5*100</f>
        <v>11.62280701754386</v>
      </c>
      <c r="U94" s="176">
        <f>(U6+U8-U10)/U5*100</f>
        <v>10.84070796460177</v>
      </c>
      <c r="V94" s="176">
        <f>(V6+V8-V10)/V5*100</f>
        <v>10.222222222222223</v>
      </c>
      <c r="W94" s="176">
        <f>(W6+W8-W10)/W5*100</f>
        <v>6.580675066666669</v>
      </c>
      <c r="X94" s="24"/>
      <c r="Y94" s="152"/>
    </row>
    <row r="95" spans="2:25" ht="12.75">
      <c r="B95" s="134" t="s">
        <v>103</v>
      </c>
      <c r="J95" s="152"/>
      <c r="K95" s="152"/>
      <c r="L95" s="176"/>
      <c r="M95" s="176">
        <f aca="true" t="shared" si="31" ref="M95:W95">(J94+K94+L94)/3</f>
        <v>4.6826704806261406</v>
      </c>
      <c r="N95" s="176">
        <f t="shared" si="31"/>
        <v>6.010366338383889</v>
      </c>
      <c r="O95" s="176">
        <f t="shared" si="31"/>
        <v>10.12520246082781</v>
      </c>
      <c r="P95" s="176">
        <f t="shared" si="31"/>
        <v>11.294734567901235</v>
      </c>
      <c r="Q95" s="176">
        <f t="shared" si="31"/>
        <v>12.847944187805602</v>
      </c>
      <c r="R95" s="176">
        <f t="shared" si="31"/>
        <v>12.11921487625242</v>
      </c>
      <c r="S95" s="176">
        <f t="shared" si="31"/>
        <v>12.369704352512821</v>
      </c>
      <c r="T95" s="176">
        <f t="shared" si="31"/>
        <v>11.959349508436913</v>
      </c>
      <c r="U95" s="176">
        <f t="shared" si="31"/>
        <v>11.78703918386274</v>
      </c>
      <c r="V95" s="176">
        <f t="shared" si="31"/>
        <v>11.28900791802515</v>
      </c>
      <c r="W95" s="176">
        <f t="shared" si="31"/>
        <v>10.895245734789285</v>
      </c>
      <c r="X95" s="195"/>
      <c r="Y95" s="152"/>
    </row>
    <row r="96" spans="10:25" ht="12.75"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</row>
    <row r="97" spans="10:25" ht="12.75"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</row>
    <row r="98" spans="10:25" ht="12.75"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</row>
    <row r="99" spans="10:25" ht="12.75"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</row>
    <row r="100" spans="10:25" ht="12.75"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</row>
    <row r="101" spans="10:25" ht="12.75"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</row>
    <row r="102" spans="10:25" ht="12.75"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</row>
    <row r="103" spans="10:25" ht="12.75"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</row>
    <row r="104" spans="10:25" ht="12.75"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</row>
    <row r="105" spans="10:25" ht="12.75"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</row>
    <row r="106" spans="10:25" ht="12.75"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</row>
    <row r="107" spans="10:25" ht="12.75"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52"/>
    </row>
    <row r="108" spans="10:25" ht="12.75"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  <c r="Y108" s="152"/>
    </row>
  </sheetData>
  <sheetProtection/>
  <mergeCells count="3">
    <mergeCell ref="B1:W1"/>
    <mergeCell ref="B2:R2"/>
    <mergeCell ref="S2:U2"/>
  </mergeCells>
  <printOptions/>
  <pageMargins left="0.47" right="0.23" top="0.33" bottom="0.55" header="0.23" footer="0.36"/>
  <pageSetup horizontalDpi="300" verticalDpi="300" orientation="landscape" paperSize="9" r:id="rId1"/>
  <headerFooter alignWithMargins="0">
    <oddHeader>&amp;L&amp;P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urbanika</dc:creator>
  <cp:keywords/>
  <dc:description/>
  <cp:lastModifiedBy>urzad</cp:lastModifiedBy>
  <cp:lastPrinted>2012-12-29T00:28:59Z</cp:lastPrinted>
  <dcterms:created xsi:type="dcterms:W3CDTF">2012-03-29T05:58:32Z</dcterms:created>
  <dcterms:modified xsi:type="dcterms:W3CDTF">2013-04-26T08:52:02Z</dcterms:modified>
  <cp:category/>
  <cp:version/>
  <cp:contentType/>
  <cp:contentStatus/>
</cp:coreProperties>
</file>