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MC" sheetId="1" r:id="rId1"/>
  </sheets>
  <definedNames/>
  <calcPr fullCalcOnLoad="1"/>
</workbook>
</file>

<file path=xl/sharedStrings.xml><?xml version="1.0" encoding="utf-8"?>
<sst xmlns="http://schemas.openxmlformats.org/spreadsheetml/2006/main" count="138" uniqueCount="116">
  <si>
    <t>Wyszczególnienie</t>
  </si>
  <si>
    <t>Wykonanie na 31.12.2007</t>
  </si>
  <si>
    <t>Wykonanie na 31.12.2008</t>
  </si>
  <si>
    <t>Wykonanie na 31.12.2009</t>
  </si>
  <si>
    <t>Plan za III kw.2010       NIE</t>
  </si>
  <si>
    <t>Wykonanie na 31.12.2010</t>
  </si>
  <si>
    <t>Plan  za III kw.2011</t>
  </si>
  <si>
    <t>Plan na 2011 wg UR 26.10.2011</t>
  </si>
  <si>
    <t>Wykonanie na 31.12.2011</t>
  </si>
  <si>
    <t xml:space="preserve"> Plan  III Kwartału 2012</t>
  </si>
  <si>
    <t xml:space="preserve"> Wykonanie  2012</t>
  </si>
  <si>
    <t>Prognoza na 2013</t>
  </si>
  <si>
    <t>Prognoza na 2014</t>
  </si>
  <si>
    <t>Prognoza na 2015</t>
  </si>
  <si>
    <t>Prognoza  na    2016</t>
  </si>
  <si>
    <t>Prognoza na 2017</t>
  </si>
  <si>
    <t>Prognoza na 2018</t>
  </si>
  <si>
    <t>Prognoza na 2019</t>
  </si>
  <si>
    <t>Prognoza na 2020</t>
  </si>
  <si>
    <t>Prognoza     2021</t>
  </si>
  <si>
    <t>Prognoza     2022</t>
  </si>
  <si>
    <t>Prognoza     2023</t>
  </si>
  <si>
    <t>Prognoza     2024</t>
  </si>
  <si>
    <t>Prognoza     2025</t>
  </si>
  <si>
    <t>A. Dochody ogółem, z tego:</t>
  </si>
  <si>
    <t>A.1. Dochody bieżące</t>
  </si>
  <si>
    <t xml:space="preserve">    dochody własne </t>
  </si>
  <si>
    <t>dotacje na zadania bieżące</t>
  </si>
  <si>
    <t>Środki unijne</t>
  </si>
  <si>
    <t>A.2. Dochody majątkowe, w tym:</t>
  </si>
  <si>
    <t>A.2.1. Dochody ze sprzedaży majątku</t>
  </si>
  <si>
    <t>Dotacje na inwestycje</t>
  </si>
  <si>
    <t>Środki unijne na inwestycje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</si>
  <si>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</si>
  <si>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</si>
  <si>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</si>
  <si>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</si>
  <si>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</si>
  <si>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</si>
  <si>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</si>
  <si>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</si>
  <si>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</si>
  <si>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</si>
  <si>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</si>
  <si>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</si>
  <si>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</si>
  <si>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</si>
  <si>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</si>
  <si>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</si>
  <si>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</si>
  <si>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</si>
  <si>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</si>
  <si>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</si>
  <si>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</si>
  <si>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</si>
  <si>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</si>
  <si>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</si>
  <si>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</si>
  <si>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</si>
  <si>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</si>
  <si>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</si>
  <si>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</si>
  <si>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</si>
  <si>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</si>
  <si>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</si>
  <si>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</si>
  <si>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 w %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</si>
  <si>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</si>
  <si>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</si>
  <si>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</si>
  <si>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</si>
  <si>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</si>
  <si>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</si>
  <si>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</si>
  <si>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 w %</t>
  </si>
  <si>
    <t>J.1. Wskaźnik długu bez wyłączeń ( I/A*100%)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</si>
  <si>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</si>
  <si>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</si>
  <si>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</si>
  <si>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tak</t>
  </si>
  <si>
    <t>Skumulowany wynik budżetu</t>
  </si>
  <si>
    <t>wolne śr  na 31.12.</t>
  </si>
  <si>
    <t>Dochody + Przychody</t>
  </si>
  <si>
    <t>Wydatki+Rozchody</t>
  </si>
  <si>
    <t>Różnice =(D+P)-(W+R)</t>
  </si>
  <si>
    <t>Plan spłat + odset/D</t>
  </si>
  <si>
    <t>Spłaty odsetek od kredytów i pozyczek, w tym :</t>
  </si>
  <si>
    <t>TAK</t>
  </si>
  <si>
    <t>Poż i Kred UE  zaciąg w 2012na część gminy 2.563.341,34</t>
  </si>
  <si>
    <t>Przychody</t>
  </si>
  <si>
    <t>jw.</t>
  </si>
  <si>
    <t>Rozchody</t>
  </si>
  <si>
    <t xml:space="preserve">  wydatki dot.obsługi kred i poż.</t>
  </si>
  <si>
    <t>III kw 2011</t>
  </si>
  <si>
    <t>pw2011</t>
  </si>
  <si>
    <t>(Db+sprze maj-Wyd b)/D*100</t>
  </si>
  <si>
    <t xml:space="preserve">wsk 3 letni </t>
  </si>
  <si>
    <t>wskaź 3 letni</t>
  </si>
  <si>
    <t>33%  wskaź 3 letniego</t>
  </si>
  <si>
    <t>(plan spłat +odset);D</t>
  </si>
  <si>
    <t>suma</t>
  </si>
  <si>
    <t>razem</t>
  </si>
  <si>
    <t>z 2011r-</t>
  </si>
  <si>
    <t>Razem</t>
  </si>
  <si>
    <t>PW 2011</t>
  </si>
  <si>
    <t xml:space="preserve">SPŁATY KRED I POŻ </t>
  </si>
  <si>
    <t xml:space="preserve">ROK </t>
  </si>
  <si>
    <t>III kw.2012</t>
  </si>
  <si>
    <t xml:space="preserve">%Db+Ds.-Wb/D w danym roku </t>
  </si>
  <si>
    <t>3 kw 2012</t>
  </si>
  <si>
    <t>wskaź 3 letni wg Rio</t>
  </si>
  <si>
    <r>
      <t xml:space="preserve">PlanWskaźnik obsługi długu po odliczeniu splat UE = </t>
    </r>
    <r>
      <rPr>
        <b/>
        <sz val="8"/>
        <color indexed="12"/>
        <rFont val="Arial"/>
        <family val="2"/>
      </rPr>
      <t>H</t>
    </r>
  </si>
  <si>
    <t>dopusz  3 let wg Rio (3 kw)</t>
  </si>
  <si>
    <t>Bestia</t>
  </si>
  <si>
    <r>
      <t xml:space="preserve">  </t>
    </r>
    <r>
      <rPr>
        <b/>
        <sz val="10"/>
        <rFont val="Arial"/>
        <family val="2"/>
      </rPr>
      <t xml:space="preserve">Załącznik dodatkowy  nr 1a- do Uchwały Rady Miejskiej w Jezioranach Nr XXVI/228/2013  z dnia  25 września 2013r.  w sprawie  Wieloletniej Prognozy Finansowej gminy  na 2013-2025      </t>
    </r>
  </si>
  <si>
    <t xml:space="preserve">MC  Prognoza kwoty długu i spłat zobowiązań dla gminy JEZIORANY na lata 2013-2025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</si>
</sst>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00"/>
    <numFmt numFmtId="167" formatCode="#,##0_ ;[Red]\-#,##0\ "/>
  </numFmts>
  <fonts count="56"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 CE"/>
      <family val="0"/>
    </font>
    <font>
      <b/>
      <sz val="8"/>
      <color indexed="10"/>
      <name val="Arial"/>
      <family val="2"/>
    </font>
    <font>
      <sz val="12"/>
      <name val="Arial CE"/>
      <family val="0"/>
    </font>
    <font>
      <sz val="8"/>
      <name val="Arial CE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 CE"/>
      <family val="0"/>
    </font>
    <font>
      <sz val="8"/>
      <color indexed="14"/>
      <name val="Arial"/>
      <family val="2"/>
    </font>
    <font>
      <sz val="10"/>
      <color indexed="14"/>
      <name val="Arial CE"/>
      <family val="0"/>
    </font>
    <font>
      <b/>
      <sz val="8"/>
      <color indexed="14"/>
      <name val="Arial"/>
      <family val="2"/>
    </font>
    <font>
      <sz val="8"/>
      <color indexed="40"/>
      <name val="Arial"/>
      <family val="2"/>
    </font>
    <font>
      <sz val="10"/>
      <color indexed="49"/>
      <name val="Arial CE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4" borderId="17" xfId="0" applyFont="1" applyFill="1" applyBorder="1" applyAlignment="1" applyProtection="1">
      <alignment vertical="center" wrapText="1"/>
      <protection/>
    </xf>
    <xf numFmtId="164" fontId="4" fillId="35" borderId="18" xfId="0" applyNumberFormat="1" applyFont="1" applyFill="1" applyBorder="1" applyAlignment="1" applyProtection="1">
      <alignment vertical="center"/>
      <protection/>
    </xf>
    <xf numFmtId="164" fontId="4" fillId="35" borderId="19" xfId="0" applyNumberFormat="1" applyFont="1" applyFill="1" applyBorder="1" applyAlignment="1" applyProtection="1">
      <alignment vertical="center"/>
      <protection/>
    </xf>
    <xf numFmtId="164" fontId="4" fillId="35" borderId="14" xfId="0" applyNumberFormat="1" applyFont="1" applyFill="1" applyBorder="1" applyAlignment="1" applyProtection="1">
      <alignment vertical="center"/>
      <protection/>
    </xf>
    <xf numFmtId="164" fontId="4" fillId="35" borderId="20" xfId="0" applyNumberFormat="1" applyFont="1" applyFill="1" applyBorder="1" applyAlignment="1" applyProtection="1">
      <alignment vertical="center"/>
      <protection/>
    </xf>
    <xf numFmtId="0" fontId="3" fillId="34" borderId="21" xfId="0" applyFont="1" applyFill="1" applyBorder="1" applyAlignment="1" applyProtection="1">
      <alignment vertical="center" wrapText="1"/>
      <protection/>
    </xf>
    <xf numFmtId="164" fontId="3" fillId="36" borderId="22" xfId="0" applyNumberFormat="1" applyFont="1" applyFill="1" applyBorder="1" applyAlignment="1" applyProtection="1">
      <alignment vertical="center" wrapText="1"/>
      <protection locked="0"/>
    </xf>
    <xf numFmtId="164" fontId="3" fillId="36" borderId="23" xfId="0" applyNumberFormat="1" applyFont="1" applyFill="1" applyBorder="1" applyAlignment="1" applyProtection="1">
      <alignment vertical="center"/>
      <protection locked="0"/>
    </xf>
    <xf numFmtId="165" fontId="3" fillId="36" borderId="24" xfId="0" applyNumberFormat="1" applyFont="1" applyFill="1" applyBorder="1" applyAlignment="1" applyProtection="1">
      <alignment vertical="center"/>
      <protection locked="0"/>
    </xf>
    <xf numFmtId="165" fontId="3" fillId="36" borderId="25" xfId="0" applyNumberFormat="1" applyFont="1" applyFill="1" applyBorder="1" applyAlignment="1" applyProtection="1">
      <alignment vertical="center"/>
      <protection locked="0"/>
    </xf>
    <xf numFmtId="164" fontId="3" fillId="36" borderId="26" xfId="0" applyNumberFormat="1" applyFont="1" applyFill="1" applyBorder="1" applyAlignment="1" applyProtection="1">
      <alignment vertical="center"/>
      <protection locked="0"/>
    </xf>
    <xf numFmtId="164" fontId="3" fillId="36" borderId="22" xfId="0" applyNumberFormat="1" applyFont="1" applyFill="1" applyBorder="1" applyAlignment="1" applyProtection="1">
      <alignment vertical="center"/>
      <protection locked="0"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0" fontId="3" fillId="34" borderId="14" xfId="0" applyFont="1" applyFill="1" applyBorder="1" applyAlignment="1" applyProtection="1">
      <alignment vertical="center" wrapText="1"/>
      <protection/>
    </xf>
    <xf numFmtId="164" fontId="3" fillId="36" borderId="14" xfId="0" applyNumberFormat="1" applyFont="1" applyFill="1" applyBorder="1" applyAlignment="1" applyProtection="1">
      <alignment vertical="center" wrapText="1"/>
      <protection locked="0"/>
    </xf>
    <xf numFmtId="164" fontId="3" fillId="36" borderId="14" xfId="0" applyNumberFormat="1" applyFont="1" applyFill="1" applyBorder="1" applyAlignment="1" applyProtection="1">
      <alignment vertical="center"/>
      <protection locked="0"/>
    </xf>
    <xf numFmtId="165" fontId="3" fillId="36" borderId="14" xfId="0" applyNumberFormat="1" applyFont="1" applyFill="1" applyBorder="1" applyAlignment="1" applyProtection="1">
      <alignment vertical="center"/>
      <protection locked="0"/>
    </xf>
    <xf numFmtId="4" fontId="3" fillId="36" borderId="14" xfId="0" applyNumberFormat="1" applyFont="1" applyFill="1" applyBorder="1" applyAlignment="1" applyProtection="1">
      <alignment vertical="center"/>
      <protection locked="0"/>
    </xf>
    <xf numFmtId="4" fontId="3" fillId="0" borderId="14" xfId="0" applyNumberFormat="1" applyFont="1" applyBorder="1" applyAlignment="1">
      <alignment/>
    </xf>
    <xf numFmtId="0" fontId="3" fillId="34" borderId="28" xfId="0" applyFont="1" applyFill="1" applyBorder="1" applyAlignment="1" applyProtection="1">
      <alignment vertical="center" wrapText="1"/>
      <protection/>
    </xf>
    <xf numFmtId="164" fontId="3" fillId="36" borderId="29" xfId="0" applyNumberFormat="1" applyFont="1" applyFill="1" applyBorder="1" applyAlignment="1" applyProtection="1">
      <alignment vertical="center" wrapText="1"/>
      <protection locked="0"/>
    </xf>
    <xf numFmtId="164" fontId="3" fillId="36" borderId="30" xfId="0" applyNumberFormat="1" applyFont="1" applyFill="1" applyBorder="1" applyAlignment="1" applyProtection="1">
      <alignment vertical="center"/>
      <protection locked="0"/>
    </xf>
    <xf numFmtId="165" fontId="3" fillId="36" borderId="0" xfId="0" applyNumberFormat="1" applyFont="1" applyFill="1" applyBorder="1" applyAlignment="1" applyProtection="1">
      <alignment vertical="center"/>
      <protection locked="0"/>
    </xf>
    <xf numFmtId="164" fontId="3" fillId="36" borderId="31" xfId="0" applyNumberFormat="1" applyFont="1" applyFill="1" applyBorder="1" applyAlignment="1" applyProtection="1">
      <alignment vertical="center"/>
      <protection locked="0"/>
    </xf>
    <xf numFmtId="164" fontId="3" fillId="36" borderId="32" xfId="0" applyNumberFormat="1" applyFont="1" applyFill="1" applyBorder="1" applyAlignment="1" applyProtection="1">
      <alignment vertical="center"/>
      <protection locked="0"/>
    </xf>
    <xf numFmtId="4" fontId="3" fillId="36" borderId="31" xfId="0" applyNumberFormat="1" applyFont="1" applyFill="1" applyBorder="1" applyAlignment="1" applyProtection="1">
      <alignment vertical="center"/>
      <protection locked="0"/>
    </xf>
    <xf numFmtId="4" fontId="3" fillId="0" borderId="31" xfId="0" applyNumberFormat="1" applyFont="1" applyBorder="1" applyAlignment="1">
      <alignment/>
    </xf>
    <xf numFmtId="0" fontId="3" fillId="34" borderId="33" xfId="0" applyFont="1" applyFill="1" applyBorder="1" applyAlignment="1" applyProtection="1">
      <alignment vertical="center" wrapText="1"/>
      <protection/>
    </xf>
    <xf numFmtId="164" fontId="3" fillId="36" borderId="34" xfId="0" applyNumberFormat="1" applyFont="1" applyFill="1" applyBorder="1" applyAlignment="1" applyProtection="1">
      <alignment vertical="center" wrapText="1"/>
      <protection locked="0"/>
    </xf>
    <xf numFmtId="164" fontId="3" fillId="36" borderId="35" xfId="0" applyNumberFormat="1" applyFont="1" applyFill="1" applyBorder="1" applyAlignment="1" applyProtection="1">
      <alignment vertical="center"/>
      <protection locked="0"/>
    </xf>
    <xf numFmtId="165" fontId="3" fillId="36" borderId="16" xfId="0" applyNumberFormat="1" applyFont="1" applyFill="1" applyBorder="1" applyAlignment="1" applyProtection="1">
      <alignment vertical="center"/>
      <protection locked="0"/>
    </xf>
    <xf numFmtId="164" fontId="3" fillId="36" borderId="34" xfId="0" applyNumberFormat="1" applyFont="1" applyFill="1" applyBorder="1" applyAlignment="1" applyProtection="1">
      <alignment vertical="center"/>
      <protection locked="0"/>
    </xf>
    <xf numFmtId="164" fontId="3" fillId="36" borderId="36" xfId="0" applyNumberFormat="1" applyFont="1" applyFill="1" applyBorder="1" applyAlignment="1" applyProtection="1">
      <alignment vertical="center"/>
      <protection locked="0"/>
    </xf>
    <xf numFmtId="4" fontId="3" fillId="36" borderId="30" xfId="0" applyNumberFormat="1" applyFont="1" applyFill="1" applyBorder="1" applyAlignment="1" applyProtection="1">
      <alignment vertical="center"/>
      <protection locked="0"/>
    </xf>
    <xf numFmtId="4" fontId="3" fillId="0" borderId="37" xfId="0" applyNumberFormat="1" applyFont="1" applyBorder="1" applyAlignment="1">
      <alignment/>
    </xf>
    <xf numFmtId="0" fontId="3" fillId="34" borderId="38" xfId="0" applyFont="1" applyFill="1" applyBorder="1" applyAlignment="1" applyProtection="1">
      <alignment vertical="center" wrapText="1"/>
      <protection/>
    </xf>
    <xf numFmtId="164" fontId="3" fillId="36" borderId="39" xfId="0" applyNumberFormat="1" applyFont="1" applyFill="1" applyBorder="1" applyAlignment="1" applyProtection="1">
      <alignment vertical="center" wrapText="1"/>
      <protection locked="0"/>
    </xf>
    <xf numFmtId="164" fontId="3" fillId="36" borderId="40" xfId="0" applyNumberFormat="1" applyFont="1" applyFill="1" applyBorder="1" applyAlignment="1" applyProtection="1">
      <alignment vertical="center"/>
      <protection locked="0"/>
    </xf>
    <xf numFmtId="164" fontId="3" fillId="36" borderId="41" xfId="0" applyNumberFormat="1" applyFont="1" applyFill="1" applyBorder="1" applyAlignment="1" applyProtection="1">
      <alignment vertical="center"/>
      <protection locked="0"/>
    </xf>
    <xf numFmtId="164" fontId="3" fillId="36" borderId="42" xfId="0" applyNumberFormat="1" applyFont="1" applyFill="1" applyBorder="1" applyAlignment="1" applyProtection="1">
      <alignment vertical="center"/>
      <protection locked="0"/>
    </xf>
    <xf numFmtId="164" fontId="3" fillId="36" borderId="39" xfId="0" applyNumberFormat="1" applyFont="1" applyFill="1" applyBorder="1" applyAlignment="1" applyProtection="1">
      <alignment vertical="center"/>
      <protection locked="0"/>
    </xf>
    <xf numFmtId="164" fontId="3" fillId="36" borderId="43" xfId="0" applyNumberFormat="1" applyFont="1" applyFill="1" applyBorder="1" applyAlignment="1" applyProtection="1">
      <alignment vertical="center"/>
      <protection locked="0"/>
    </xf>
    <xf numFmtId="164" fontId="5" fillId="36" borderId="43" xfId="0" applyNumberFormat="1" applyFont="1" applyFill="1" applyBorder="1" applyAlignment="1" applyProtection="1">
      <alignment vertical="center"/>
      <protection locked="0"/>
    </xf>
    <xf numFmtId="164" fontId="3" fillId="36" borderId="44" xfId="0" applyNumberFormat="1" applyFont="1" applyFill="1" applyBorder="1" applyAlignment="1" applyProtection="1">
      <alignment vertical="center"/>
      <protection locked="0"/>
    </xf>
    <xf numFmtId="164" fontId="3" fillId="36" borderId="25" xfId="0" applyNumberFormat="1" applyFont="1" applyFill="1" applyBorder="1" applyAlignment="1" applyProtection="1">
      <alignment vertical="center"/>
      <protection locked="0"/>
    </xf>
    <xf numFmtId="164" fontId="3" fillId="36" borderId="0" xfId="0" applyNumberFormat="1" applyFont="1" applyFill="1" applyBorder="1" applyAlignment="1" applyProtection="1">
      <alignment vertical="center"/>
      <protection locked="0"/>
    </xf>
    <xf numFmtId="164" fontId="5" fillId="36" borderId="14" xfId="0" applyNumberFormat="1" applyFont="1" applyFill="1" applyBorder="1" applyAlignment="1" applyProtection="1">
      <alignment vertical="center"/>
      <protection locked="0"/>
    </xf>
    <xf numFmtId="0" fontId="4" fillId="34" borderId="45" xfId="0" applyFont="1" applyFill="1" applyBorder="1" applyAlignment="1" applyProtection="1">
      <alignment vertical="center" wrapText="1"/>
      <protection/>
    </xf>
    <xf numFmtId="164" fontId="4" fillId="35" borderId="46" xfId="0" applyNumberFormat="1" applyFont="1" applyFill="1" applyBorder="1" applyAlignment="1" applyProtection="1">
      <alignment vertical="center"/>
      <protection/>
    </xf>
    <xf numFmtId="164" fontId="4" fillId="35" borderId="47" xfId="0" applyNumberFormat="1" applyFont="1" applyFill="1" applyBorder="1" applyAlignment="1" applyProtection="1">
      <alignment vertical="center"/>
      <protection/>
    </xf>
    <xf numFmtId="164" fontId="4" fillId="35" borderId="31" xfId="0" applyNumberFormat="1" applyFont="1" applyFill="1" applyBorder="1" applyAlignment="1" applyProtection="1">
      <alignment vertical="center"/>
      <protection/>
    </xf>
    <xf numFmtId="4" fontId="4" fillId="35" borderId="14" xfId="0" applyNumberFormat="1" applyFont="1" applyFill="1" applyBorder="1" applyAlignment="1" applyProtection="1">
      <alignment vertical="center"/>
      <protection/>
    </xf>
    <xf numFmtId="164" fontId="3" fillId="36" borderId="29" xfId="0" applyNumberFormat="1" applyFont="1" applyFill="1" applyBorder="1" applyAlignment="1" applyProtection="1">
      <alignment vertical="center"/>
      <protection locked="0"/>
    </xf>
    <xf numFmtId="4" fontId="3" fillId="0" borderId="16" xfId="0" applyNumberFormat="1" applyFont="1" applyBorder="1" applyAlignment="1">
      <alignment/>
    </xf>
    <xf numFmtId="4" fontId="3" fillId="0" borderId="48" xfId="0" applyNumberFormat="1" applyFont="1" applyFill="1" applyBorder="1" applyAlignment="1">
      <alignment/>
    </xf>
    <xf numFmtId="0" fontId="3" fillId="34" borderId="49" xfId="0" applyFont="1" applyFill="1" applyBorder="1" applyAlignment="1" applyProtection="1">
      <alignment vertical="center" wrapText="1"/>
      <protection/>
    </xf>
    <xf numFmtId="164" fontId="3" fillId="36" borderId="50" xfId="0" applyNumberFormat="1" applyFont="1" applyFill="1" applyBorder="1" applyAlignment="1" applyProtection="1">
      <alignment vertical="center"/>
      <protection locked="0"/>
    </xf>
    <xf numFmtId="164" fontId="3" fillId="36" borderId="51" xfId="0" applyNumberFormat="1" applyFont="1" applyFill="1" applyBorder="1" applyAlignment="1" applyProtection="1">
      <alignment vertical="center"/>
      <protection locked="0"/>
    </xf>
    <xf numFmtId="0" fontId="4" fillId="34" borderId="52" xfId="0" applyFont="1" applyFill="1" applyBorder="1" applyAlignment="1" applyProtection="1">
      <alignment vertical="center" wrapText="1"/>
      <protection/>
    </xf>
    <xf numFmtId="164" fontId="4" fillId="35" borderId="53" xfId="0" applyNumberFormat="1" applyFont="1" applyFill="1" applyBorder="1" applyAlignment="1" applyProtection="1">
      <alignment vertical="center"/>
      <protection/>
    </xf>
    <xf numFmtId="164" fontId="4" fillId="35" borderId="54" xfId="0" applyNumberFormat="1" applyFont="1" applyFill="1" applyBorder="1" applyAlignment="1" applyProtection="1">
      <alignment vertical="center"/>
      <protection/>
    </xf>
    <xf numFmtId="164" fontId="4" fillId="35" borderId="55" xfId="0" applyNumberFormat="1" applyFont="1" applyFill="1" applyBorder="1" applyAlignment="1" applyProtection="1">
      <alignment vertical="center"/>
      <protection/>
    </xf>
    <xf numFmtId="164" fontId="4" fillId="35" borderId="16" xfId="0" applyNumberFormat="1" applyFont="1" applyFill="1" applyBorder="1" applyAlignment="1" applyProtection="1">
      <alignment vertical="center"/>
      <protection/>
    </xf>
    <xf numFmtId="0" fontId="4" fillId="34" borderId="56" xfId="0" applyFont="1" applyFill="1" applyBorder="1" applyAlignment="1" applyProtection="1">
      <alignment vertical="center" wrapText="1"/>
      <protection/>
    </xf>
    <xf numFmtId="164" fontId="4" fillId="35" borderId="57" xfId="0" applyNumberFormat="1" applyFont="1" applyFill="1" applyBorder="1" applyAlignment="1" applyProtection="1">
      <alignment vertical="center"/>
      <protection/>
    </xf>
    <xf numFmtId="164" fontId="4" fillId="35" borderId="58" xfId="0" applyNumberFormat="1" applyFont="1" applyFill="1" applyBorder="1" applyAlignment="1" applyProtection="1">
      <alignment vertical="center"/>
      <protection/>
    </xf>
    <xf numFmtId="164" fontId="4" fillId="35" borderId="59" xfId="0" applyNumberFormat="1" applyFont="1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vertical="center" wrapText="1"/>
      <protection/>
    </xf>
    <xf numFmtId="164" fontId="4" fillId="35" borderId="36" xfId="0" applyNumberFormat="1" applyFont="1" applyFill="1" applyBorder="1" applyAlignment="1" applyProtection="1">
      <alignment vertical="center"/>
      <protection/>
    </xf>
    <xf numFmtId="164" fontId="4" fillId="35" borderId="30" xfId="0" applyNumberFormat="1" applyFont="1" applyFill="1" applyBorder="1" applyAlignment="1" applyProtection="1">
      <alignment vertical="center"/>
      <protection/>
    </xf>
    <xf numFmtId="164" fontId="4" fillId="35" borderId="29" xfId="0" applyNumberFormat="1" applyFont="1" applyFill="1" applyBorder="1" applyAlignment="1" applyProtection="1">
      <alignment vertical="center"/>
      <protection/>
    </xf>
    <xf numFmtId="164" fontId="4" fillId="36" borderId="50" xfId="0" applyNumberFormat="1" applyFont="1" applyFill="1" applyBorder="1" applyAlignment="1" applyProtection="1">
      <alignment vertical="center"/>
      <protection locked="0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164" fontId="6" fillId="36" borderId="50" xfId="0" applyNumberFormat="1" applyFont="1" applyFill="1" applyBorder="1" applyAlignment="1" applyProtection="1">
      <alignment vertical="center"/>
      <protection locked="0"/>
    </xf>
    <xf numFmtId="164" fontId="3" fillId="36" borderId="60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Border="1" applyAlignment="1">
      <alignment/>
    </xf>
    <xf numFmtId="4" fontId="3" fillId="0" borderId="61" xfId="0" applyNumberFormat="1" applyFont="1" applyBorder="1" applyAlignment="1">
      <alignment/>
    </xf>
    <xf numFmtId="164" fontId="3" fillId="36" borderId="60" xfId="0" applyNumberFormat="1" applyFont="1" applyFill="1" applyBorder="1" applyAlignment="1" applyProtection="1">
      <alignment vertical="center" wrapText="1"/>
      <protection locked="0"/>
    </xf>
    <xf numFmtId="0" fontId="3" fillId="0" borderId="31" xfId="0" applyFont="1" applyBorder="1" applyAlignment="1">
      <alignment/>
    </xf>
    <xf numFmtId="164" fontId="4" fillId="35" borderId="24" xfId="0" applyNumberFormat="1" applyFont="1" applyFill="1" applyBorder="1" applyAlignment="1" applyProtection="1">
      <alignment vertical="center"/>
      <protection/>
    </xf>
    <xf numFmtId="164" fontId="4" fillId="35" borderId="62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Alignment="1">
      <alignment/>
    </xf>
    <xf numFmtId="4" fontId="3" fillId="36" borderId="63" xfId="0" applyNumberFormat="1" applyFont="1" applyFill="1" applyBorder="1" applyAlignment="1" applyProtection="1">
      <alignment vertical="center"/>
      <protection locked="0"/>
    </xf>
    <xf numFmtId="4" fontId="5" fillId="36" borderId="14" xfId="0" applyNumberFormat="1" applyFont="1" applyFill="1" applyBorder="1" applyAlignment="1" applyProtection="1">
      <alignment vertical="center"/>
      <protection locked="0"/>
    </xf>
    <xf numFmtId="4" fontId="5" fillId="0" borderId="14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5" fillId="36" borderId="0" xfId="0" applyNumberFormat="1" applyFont="1" applyFill="1" applyBorder="1" applyAlignment="1" applyProtection="1">
      <alignment vertical="center"/>
      <protection locked="0"/>
    </xf>
    <xf numFmtId="4" fontId="7" fillId="0" borderId="14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34" borderId="64" xfId="0" applyFont="1" applyFill="1" applyBorder="1" applyAlignment="1" applyProtection="1">
      <alignment vertical="center" wrapText="1"/>
      <protection/>
    </xf>
    <xf numFmtId="164" fontId="4" fillId="35" borderId="65" xfId="0" applyNumberFormat="1" applyFont="1" applyFill="1" applyBorder="1" applyAlignment="1" applyProtection="1">
      <alignment vertical="center" wrapText="1"/>
      <protection locked="0"/>
    </xf>
    <xf numFmtId="164" fontId="3" fillId="35" borderId="66" xfId="0" applyNumberFormat="1" applyFont="1" applyFill="1" applyBorder="1" applyAlignment="1" applyProtection="1">
      <alignment vertical="center"/>
      <protection locked="0"/>
    </xf>
    <xf numFmtId="164" fontId="3" fillId="35" borderId="67" xfId="0" applyNumberFormat="1" applyFont="1" applyFill="1" applyBorder="1" applyAlignment="1" applyProtection="1">
      <alignment vertical="center"/>
      <protection locked="0"/>
    </xf>
    <xf numFmtId="164" fontId="3" fillId="35" borderId="14" xfId="0" applyNumberFormat="1" applyFont="1" applyFill="1" applyBorder="1" applyAlignment="1" applyProtection="1">
      <alignment vertical="center"/>
      <protection locked="0"/>
    </xf>
    <xf numFmtId="164" fontId="3" fillId="35" borderId="65" xfId="0" applyNumberFormat="1" applyFont="1" applyFill="1" applyBorder="1" applyAlignment="1" applyProtection="1">
      <alignment vertical="center"/>
      <protection locked="0"/>
    </xf>
    <xf numFmtId="164" fontId="3" fillId="35" borderId="53" xfId="0" applyNumberFormat="1" applyFont="1" applyFill="1" applyBorder="1" applyAlignment="1" applyProtection="1">
      <alignment vertical="center"/>
      <protection locked="0"/>
    </xf>
    <xf numFmtId="164" fontId="4" fillId="35" borderId="20" xfId="0" applyNumberFormat="1" applyFont="1" applyFill="1" applyBorder="1" applyAlignment="1" applyProtection="1">
      <alignment vertical="center" wrapText="1"/>
      <protection locked="0"/>
    </xf>
    <xf numFmtId="164" fontId="4" fillId="35" borderId="68" xfId="0" applyNumberFormat="1" applyFont="1" applyFill="1" applyBorder="1" applyAlignment="1" applyProtection="1">
      <alignment vertical="center" wrapText="1"/>
      <protection locked="0"/>
    </xf>
    <xf numFmtId="164" fontId="4" fillId="35" borderId="14" xfId="0" applyNumberFormat="1" applyFont="1" applyFill="1" applyBorder="1" applyAlignment="1" applyProtection="1">
      <alignment vertical="center" wrapText="1"/>
      <protection locked="0"/>
    </xf>
    <xf numFmtId="164" fontId="3" fillId="35" borderId="29" xfId="0" applyNumberFormat="1" applyFont="1" applyFill="1" applyBorder="1" applyAlignment="1" applyProtection="1">
      <alignment vertical="center" wrapText="1"/>
      <protection locked="0"/>
    </xf>
    <xf numFmtId="164" fontId="3" fillId="35" borderId="36" xfId="0" applyNumberFormat="1" applyFont="1" applyFill="1" applyBorder="1" applyAlignment="1" applyProtection="1">
      <alignment vertical="center"/>
      <protection locked="0"/>
    </xf>
    <xf numFmtId="164" fontId="3" fillId="35" borderId="30" xfId="0" applyNumberFormat="1" applyFont="1" applyFill="1" applyBorder="1" applyAlignment="1" applyProtection="1">
      <alignment vertical="center"/>
      <protection locked="0"/>
    </xf>
    <xf numFmtId="164" fontId="3" fillId="35" borderId="32" xfId="0" applyNumberFormat="1" applyFont="1" applyFill="1" applyBorder="1" applyAlignment="1" applyProtection="1">
      <alignment vertical="center"/>
      <protection locked="0"/>
    </xf>
    <xf numFmtId="164" fontId="3" fillId="35" borderId="16" xfId="0" applyNumberFormat="1" applyFont="1" applyFill="1" applyBorder="1" applyAlignment="1" applyProtection="1">
      <alignment vertical="center"/>
      <protection locked="0"/>
    </xf>
    <xf numFmtId="164" fontId="3" fillId="35" borderId="29" xfId="0" applyNumberFormat="1" applyFont="1" applyFill="1" applyBorder="1" applyAlignment="1" applyProtection="1">
      <alignment vertical="center"/>
      <protection locked="0"/>
    </xf>
    <xf numFmtId="4" fontId="3" fillId="35" borderId="30" xfId="0" applyNumberFormat="1" applyFont="1" applyFill="1" applyBorder="1" applyAlignment="1" applyProtection="1">
      <alignment vertical="center"/>
      <protection locked="0"/>
    </xf>
    <xf numFmtId="164" fontId="3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" fillId="35" borderId="60" xfId="0" applyNumberFormat="1" applyFont="1" applyFill="1" applyBorder="1" applyAlignment="1" applyProtection="1">
      <alignment vertical="center" wrapText="1"/>
      <protection locked="0"/>
    </xf>
    <xf numFmtId="164" fontId="3" fillId="35" borderId="43" xfId="0" applyNumberFormat="1" applyFont="1" applyFill="1" applyBorder="1" applyAlignment="1" applyProtection="1">
      <alignment vertical="center"/>
      <protection locked="0"/>
    </xf>
    <xf numFmtId="164" fontId="3" fillId="35" borderId="44" xfId="0" applyNumberFormat="1" applyFont="1" applyFill="1" applyBorder="1" applyAlignment="1" applyProtection="1">
      <alignment vertical="center"/>
      <protection locked="0"/>
    </xf>
    <xf numFmtId="164" fontId="3" fillId="35" borderId="60" xfId="0" applyNumberFormat="1" applyFont="1" applyFill="1" applyBorder="1" applyAlignment="1" applyProtection="1">
      <alignment vertical="center"/>
      <protection locked="0"/>
    </xf>
    <xf numFmtId="164" fontId="3" fillId="35" borderId="23" xfId="0" applyNumberFormat="1" applyFont="1" applyFill="1" applyBorder="1" applyAlignment="1" applyProtection="1">
      <alignment vertical="center"/>
      <protection locked="0"/>
    </xf>
    <xf numFmtId="164" fontId="3" fillId="0" borderId="61" xfId="0" applyNumberFormat="1" applyFont="1" applyBorder="1" applyAlignment="1">
      <alignment/>
    </xf>
    <xf numFmtId="164" fontId="4" fillId="35" borderId="50" xfId="0" applyNumberFormat="1" applyFont="1" applyFill="1" applyBorder="1" applyAlignment="1" applyProtection="1">
      <alignment vertical="center"/>
      <protection/>
    </xf>
    <xf numFmtId="164" fontId="4" fillId="35" borderId="35" xfId="0" applyNumberFormat="1" applyFont="1" applyFill="1" applyBorder="1" applyAlignment="1" applyProtection="1">
      <alignment vertical="center"/>
      <protection/>
    </xf>
    <xf numFmtId="164" fontId="4" fillId="35" borderId="34" xfId="0" applyNumberFormat="1" applyFont="1" applyFill="1" applyBorder="1" applyAlignment="1" applyProtection="1">
      <alignment vertical="center"/>
      <protection/>
    </xf>
    <xf numFmtId="164" fontId="4" fillId="35" borderId="0" xfId="0" applyNumberFormat="1" applyFont="1" applyFill="1" applyBorder="1" applyAlignment="1" applyProtection="1">
      <alignment vertical="center"/>
      <protection/>
    </xf>
    <xf numFmtId="164" fontId="3" fillId="35" borderId="39" xfId="0" applyNumberFormat="1" applyFont="1" applyFill="1" applyBorder="1" applyAlignment="1" applyProtection="1">
      <alignment vertical="center" wrapText="1"/>
      <protection locked="0"/>
    </xf>
    <xf numFmtId="164" fontId="4" fillId="35" borderId="40" xfId="0" applyNumberFormat="1" applyFont="1" applyFill="1" applyBorder="1" applyAlignment="1" applyProtection="1">
      <alignment vertical="center"/>
      <protection/>
    </xf>
    <xf numFmtId="164" fontId="4" fillId="35" borderId="51" xfId="0" applyNumberFormat="1" applyFont="1" applyFill="1" applyBorder="1" applyAlignment="1" applyProtection="1">
      <alignment vertical="center"/>
      <protection/>
    </xf>
    <xf numFmtId="164" fontId="4" fillId="35" borderId="39" xfId="0" applyNumberFormat="1" applyFont="1" applyFill="1" applyBorder="1" applyAlignment="1" applyProtection="1">
      <alignment vertical="center"/>
      <protection/>
    </xf>
    <xf numFmtId="10" fontId="4" fillId="35" borderId="53" xfId="0" applyNumberFormat="1" applyFont="1" applyFill="1" applyBorder="1" applyAlignment="1" applyProtection="1">
      <alignment vertical="center"/>
      <protection/>
    </xf>
    <xf numFmtId="10" fontId="4" fillId="35" borderId="54" xfId="0" applyNumberFormat="1" applyFont="1" applyFill="1" applyBorder="1" applyAlignment="1" applyProtection="1">
      <alignment vertical="center"/>
      <protection/>
    </xf>
    <xf numFmtId="10" fontId="4" fillId="35" borderId="14" xfId="0" applyNumberFormat="1" applyFont="1" applyFill="1" applyBorder="1" applyAlignment="1" applyProtection="1">
      <alignment vertical="center"/>
      <protection/>
    </xf>
    <xf numFmtId="10" fontId="4" fillId="35" borderId="55" xfId="0" applyNumberFormat="1" applyFont="1" applyFill="1" applyBorder="1" applyAlignment="1" applyProtection="1">
      <alignment vertical="center"/>
      <protection/>
    </xf>
    <xf numFmtId="10" fontId="4" fillId="35" borderId="69" xfId="0" applyNumberFormat="1" applyFont="1" applyFill="1" applyBorder="1" applyAlignment="1" applyProtection="1">
      <alignment vertical="center"/>
      <protection/>
    </xf>
    <xf numFmtId="164" fontId="3" fillId="35" borderId="36" xfId="0" applyNumberFormat="1" applyFont="1" applyFill="1" applyBorder="1" applyAlignment="1" applyProtection="1">
      <alignment vertical="center"/>
      <protection/>
    </xf>
    <xf numFmtId="164" fontId="3" fillId="35" borderId="30" xfId="0" applyNumberFormat="1" applyFont="1" applyFill="1" applyBorder="1" applyAlignment="1" applyProtection="1">
      <alignment vertical="center"/>
      <protection/>
    </xf>
    <xf numFmtId="164" fontId="3" fillId="35" borderId="14" xfId="0" applyNumberFormat="1" applyFont="1" applyFill="1" applyBorder="1" applyAlignment="1" applyProtection="1">
      <alignment vertical="center"/>
      <protection/>
    </xf>
    <xf numFmtId="164" fontId="3" fillId="35" borderId="29" xfId="0" applyNumberFormat="1" applyFont="1" applyFill="1" applyBorder="1" applyAlignment="1" applyProtection="1">
      <alignment vertical="center"/>
      <protection/>
    </xf>
    <xf numFmtId="164" fontId="3" fillId="35" borderId="50" xfId="0" applyNumberFormat="1" applyFont="1" applyFill="1" applyBorder="1" applyAlignment="1" applyProtection="1">
      <alignment vertical="center"/>
      <protection/>
    </xf>
    <xf numFmtId="164" fontId="3" fillId="35" borderId="35" xfId="0" applyNumberFormat="1" applyFont="1" applyFill="1" applyBorder="1" applyAlignment="1" applyProtection="1">
      <alignment vertical="center"/>
      <protection/>
    </xf>
    <xf numFmtId="164" fontId="3" fillId="35" borderId="34" xfId="0" applyNumberFormat="1" applyFont="1" applyFill="1" applyBorder="1" applyAlignment="1" applyProtection="1">
      <alignment vertical="center"/>
      <protection/>
    </xf>
    <xf numFmtId="164" fontId="4" fillId="35" borderId="50" xfId="0" applyNumberFormat="1" applyFont="1" applyFill="1" applyBorder="1" applyAlignment="1" applyProtection="1">
      <alignment vertical="center"/>
      <protection/>
    </xf>
    <xf numFmtId="164" fontId="3" fillId="35" borderId="50" xfId="0" applyNumberFormat="1" applyFont="1" applyFill="1" applyBorder="1" applyAlignment="1" applyProtection="1">
      <alignment vertical="center"/>
      <protection locked="0"/>
    </xf>
    <xf numFmtId="164" fontId="3" fillId="35" borderId="35" xfId="0" applyNumberFormat="1" applyFont="1" applyFill="1" applyBorder="1" applyAlignment="1" applyProtection="1">
      <alignment vertical="center"/>
      <protection locked="0"/>
    </xf>
    <xf numFmtId="164" fontId="3" fillId="35" borderId="34" xfId="0" applyNumberFormat="1" applyFont="1" applyFill="1" applyBorder="1" applyAlignment="1" applyProtection="1">
      <alignment vertical="center"/>
      <protection locked="0"/>
    </xf>
    <xf numFmtId="164" fontId="3" fillId="35" borderId="40" xfId="0" applyNumberFormat="1" applyFont="1" applyFill="1" applyBorder="1" applyAlignment="1" applyProtection="1">
      <alignment vertical="center"/>
      <protection locked="0"/>
    </xf>
    <xf numFmtId="164" fontId="3" fillId="35" borderId="51" xfId="0" applyNumberFormat="1" applyFont="1" applyFill="1" applyBorder="1" applyAlignment="1" applyProtection="1">
      <alignment vertical="center"/>
      <protection locked="0"/>
    </xf>
    <xf numFmtId="10" fontId="4" fillId="35" borderId="66" xfId="0" applyNumberFormat="1" applyFont="1" applyFill="1" applyBorder="1" applyAlignment="1" applyProtection="1">
      <alignment vertical="center"/>
      <protection/>
    </xf>
    <xf numFmtId="10" fontId="4" fillId="35" borderId="67" xfId="0" applyNumberFormat="1" applyFont="1" applyFill="1" applyBorder="1" applyAlignment="1" applyProtection="1">
      <alignment vertical="center"/>
      <protection/>
    </xf>
    <xf numFmtId="10" fontId="4" fillId="35" borderId="65" xfId="0" applyNumberFormat="1" applyFont="1" applyFill="1" applyBorder="1" applyAlignment="1" applyProtection="1">
      <alignment vertical="center"/>
      <protection/>
    </xf>
    <xf numFmtId="10" fontId="4" fillId="35" borderId="70" xfId="0" applyNumberFormat="1" applyFont="1" applyFill="1" applyBorder="1" applyAlignment="1" applyProtection="1">
      <alignment vertical="center"/>
      <protection/>
    </xf>
    <xf numFmtId="0" fontId="4" fillId="35" borderId="65" xfId="0" applyFont="1" applyFill="1" applyBorder="1" applyAlignment="1" applyProtection="1">
      <alignment horizontal="center" vertical="center" wrapText="1"/>
      <protection/>
    </xf>
    <xf numFmtId="10" fontId="4" fillId="35" borderId="66" xfId="0" applyNumberFormat="1" applyFont="1" applyFill="1" applyBorder="1" applyAlignment="1" applyProtection="1">
      <alignment horizontal="center" vertical="center"/>
      <protection/>
    </xf>
    <xf numFmtId="2" fontId="4" fillId="35" borderId="67" xfId="0" applyNumberFormat="1" applyFont="1" applyFill="1" applyBorder="1" applyAlignment="1" applyProtection="1">
      <alignment horizontal="center" vertical="center"/>
      <protection/>
    </xf>
    <xf numFmtId="2" fontId="4" fillId="35" borderId="14" xfId="0" applyNumberFormat="1" applyFont="1" applyFill="1" applyBorder="1" applyAlignment="1" applyProtection="1">
      <alignment horizontal="center" vertical="center"/>
      <protection/>
    </xf>
    <xf numFmtId="2" fontId="4" fillId="35" borderId="65" xfId="0" applyNumberFormat="1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5" borderId="61" xfId="0" applyFont="1" applyFill="1" applyBorder="1" applyAlignment="1" applyProtection="1">
      <alignment horizontal="center" vertical="center" wrapText="1"/>
      <protection/>
    </xf>
    <xf numFmtId="10" fontId="4" fillId="35" borderId="14" xfId="0" applyNumberFormat="1" applyFont="1" applyFill="1" applyBorder="1" applyAlignment="1" applyProtection="1">
      <alignment horizontal="center" vertical="center"/>
      <protection/>
    </xf>
    <xf numFmtId="2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61" xfId="0" applyBorder="1" applyAlignment="1">
      <alignment/>
    </xf>
    <xf numFmtId="0" fontId="4" fillId="34" borderId="31" xfId="0" applyFont="1" applyFill="1" applyBorder="1" applyAlignment="1" applyProtection="1">
      <alignment vertical="center" wrapText="1"/>
      <protection/>
    </xf>
    <xf numFmtId="4" fontId="4" fillId="35" borderId="31" xfId="0" applyNumberFormat="1" applyFont="1" applyFill="1" applyBorder="1" applyAlignment="1" applyProtection="1">
      <alignment horizontal="center" vertical="center" wrapText="1"/>
      <protection/>
    </xf>
    <xf numFmtId="4" fontId="4" fillId="35" borderId="31" xfId="0" applyNumberFormat="1" applyFont="1" applyFill="1" applyBorder="1" applyAlignment="1" applyProtection="1">
      <alignment horizontal="center" vertical="center"/>
      <protection/>
    </xf>
    <xf numFmtId="4" fontId="4" fillId="35" borderId="37" xfId="0" applyNumberFormat="1" applyFont="1" applyFill="1" applyBorder="1" applyAlignment="1" applyProtection="1">
      <alignment horizontal="center" vertical="center"/>
      <protection/>
    </xf>
    <xf numFmtId="4" fontId="4" fillId="35" borderId="71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2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1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4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14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14" xfId="0" applyNumberFormat="1" applyFont="1" applyBorder="1" applyAlignment="1">
      <alignment horizontal="center"/>
    </xf>
    <xf numFmtId="164" fontId="3" fillId="35" borderId="26" xfId="0" applyNumberFormat="1" applyFont="1" applyFill="1" applyBorder="1" applyAlignment="1" applyProtection="1">
      <alignment vertical="center"/>
      <protection locked="0"/>
    </xf>
    <xf numFmtId="164" fontId="4" fillId="35" borderId="72" xfId="0" applyNumberFormat="1" applyFont="1" applyFill="1" applyBorder="1" applyAlignment="1" applyProtection="1">
      <alignment vertical="center"/>
      <protection/>
    </xf>
    <xf numFmtId="4" fontId="3" fillId="36" borderId="73" xfId="0" applyNumberFormat="1" applyFont="1" applyFill="1" applyBorder="1" applyAlignment="1" applyProtection="1">
      <alignment vertical="center"/>
      <protection locked="0"/>
    </xf>
    <xf numFmtId="4" fontId="3" fillId="36" borderId="74" xfId="0" applyNumberFormat="1" applyFont="1" applyFill="1" applyBorder="1" applyAlignment="1" applyProtection="1">
      <alignment vertical="center"/>
      <protection locked="0"/>
    </xf>
    <xf numFmtId="4" fontId="5" fillId="36" borderId="26" xfId="0" applyNumberFormat="1" applyFont="1" applyFill="1" applyBorder="1" applyAlignment="1" applyProtection="1">
      <alignment vertical="center"/>
      <protection locked="0"/>
    </xf>
    <xf numFmtId="164" fontId="3" fillId="36" borderId="71" xfId="0" applyNumberFormat="1" applyFont="1" applyFill="1" applyBorder="1" applyAlignment="1" applyProtection="1">
      <alignment vertical="center"/>
      <protection locked="0"/>
    </xf>
    <xf numFmtId="164" fontId="8" fillId="35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center"/>
    </xf>
    <xf numFmtId="0" fontId="3" fillId="0" borderId="27" xfId="0" applyFont="1" applyBorder="1" applyAlignment="1">
      <alignment/>
    </xf>
    <xf numFmtId="164" fontId="13" fillId="0" borderId="0" xfId="0" applyNumberFormat="1" applyFont="1" applyAlignment="1">
      <alignment/>
    </xf>
    <xf numFmtId="0" fontId="13" fillId="0" borderId="14" xfId="0" applyFont="1" applyBorder="1" applyAlignment="1">
      <alignment wrapText="1"/>
    </xf>
    <xf numFmtId="0" fontId="14" fillId="35" borderId="22" xfId="0" applyFont="1" applyFill="1" applyBorder="1" applyAlignment="1" applyProtection="1">
      <alignment horizontal="center" vertical="center" wrapText="1"/>
      <protection/>
    </xf>
    <xf numFmtId="10" fontId="14" fillId="35" borderId="23" xfId="0" applyNumberFormat="1" applyFont="1" applyFill="1" applyBorder="1" applyAlignment="1" applyProtection="1">
      <alignment horizontal="center" vertical="center"/>
      <protection/>
    </xf>
    <xf numFmtId="2" fontId="14" fillId="35" borderId="54" xfId="0" applyNumberFormat="1" applyFont="1" applyFill="1" applyBorder="1" applyAlignment="1" applyProtection="1">
      <alignment horizontal="center" vertical="center"/>
      <protection/>
    </xf>
    <xf numFmtId="2" fontId="14" fillId="35" borderId="26" xfId="0" applyNumberFormat="1" applyFont="1" applyFill="1" applyBorder="1" applyAlignment="1" applyProtection="1">
      <alignment horizontal="center" vertical="center"/>
      <protection/>
    </xf>
    <xf numFmtId="2" fontId="14" fillId="35" borderId="55" xfId="0" applyNumberFormat="1" applyFont="1" applyFill="1" applyBorder="1" applyAlignment="1" applyProtection="1">
      <alignment horizontal="center" vertical="center"/>
      <protection/>
    </xf>
    <xf numFmtId="2" fontId="14" fillId="35" borderId="53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2" fontId="18" fillId="35" borderId="66" xfId="0" applyNumberFormat="1" applyFont="1" applyFill="1" applyBorder="1" applyAlignment="1" applyProtection="1">
      <alignment horizontal="center" vertical="center"/>
      <protection/>
    </xf>
    <xf numFmtId="2" fontId="18" fillId="35" borderId="67" xfId="0" applyNumberFormat="1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3" fillId="34" borderId="75" xfId="0" applyFont="1" applyFill="1" applyBorder="1" applyAlignment="1" applyProtection="1">
      <alignment vertical="center" wrapText="1"/>
      <protection/>
    </xf>
    <xf numFmtId="164" fontId="3" fillId="36" borderId="76" xfId="0" applyNumberFormat="1" applyFont="1" applyFill="1" applyBorder="1" applyAlignment="1" applyProtection="1">
      <alignment vertical="center" wrapText="1"/>
      <protection locked="0"/>
    </xf>
    <xf numFmtId="164" fontId="3" fillId="35" borderId="41" xfId="0" applyNumberFormat="1" applyFont="1" applyFill="1" applyBorder="1" applyAlignment="1" applyProtection="1">
      <alignment vertical="center"/>
      <protection locked="0"/>
    </xf>
    <xf numFmtId="164" fontId="3" fillId="35" borderId="42" xfId="0" applyNumberFormat="1" applyFont="1" applyFill="1" applyBorder="1" applyAlignment="1" applyProtection="1">
      <alignment vertical="center"/>
      <protection locked="0"/>
    </xf>
    <xf numFmtId="164" fontId="3" fillId="35" borderId="76" xfId="0" applyNumberFormat="1" applyFont="1" applyFill="1" applyBorder="1" applyAlignment="1" applyProtection="1">
      <alignment vertical="center"/>
      <protection locked="0"/>
    </xf>
    <xf numFmtId="167" fontId="8" fillId="35" borderId="41" xfId="0" applyNumberFormat="1" applyFont="1" applyFill="1" applyBorder="1" applyAlignment="1" applyProtection="1">
      <alignment vertical="center"/>
      <protection locked="0"/>
    </xf>
    <xf numFmtId="167" fontId="10" fillId="35" borderId="41" xfId="0" applyNumberFormat="1" applyFont="1" applyFill="1" applyBorder="1" applyAlignment="1" applyProtection="1">
      <alignment horizontal="center" vertical="center"/>
      <protection locked="0"/>
    </xf>
    <xf numFmtId="167" fontId="10" fillId="35" borderId="42" xfId="0" applyNumberFormat="1" applyFont="1" applyFill="1" applyBorder="1" applyAlignment="1" applyProtection="1">
      <alignment horizontal="center" vertical="center"/>
      <protection locked="0"/>
    </xf>
    <xf numFmtId="164" fontId="3" fillId="35" borderId="77" xfId="0" applyNumberFormat="1" applyFont="1" applyFill="1" applyBorder="1" applyAlignment="1" applyProtection="1">
      <alignment vertical="center"/>
      <protection locked="0"/>
    </xf>
    <xf numFmtId="0" fontId="10" fillId="0" borderId="3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3" fillId="0" borderId="37" xfId="0" applyFont="1" applyBorder="1" applyAlignment="1">
      <alignment/>
    </xf>
    <xf numFmtId="167" fontId="21" fillId="36" borderId="23" xfId="0" applyNumberFormat="1" applyFont="1" applyFill="1" applyBorder="1" applyAlignment="1" applyProtection="1">
      <alignment horizontal="center" vertical="center"/>
      <protection locked="0"/>
    </xf>
    <xf numFmtId="164" fontId="21" fillId="36" borderId="23" xfId="0" applyNumberFormat="1" applyFont="1" applyFill="1" applyBorder="1" applyAlignment="1" applyProtection="1">
      <alignment horizontal="center" vertical="center"/>
      <protection locked="0"/>
    </xf>
    <xf numFmtId="167" fontId="21" fillId="36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/>
    </xf>
    <xf numFmtId="164" fontId="4" fillId="35" borderId="78" xfId="0" applyNumberFormat="1" applyFont="1" applyFill="1" applyBorder="1" applyAlignment="1" applyProtection="1">
      <alignment vertical="center"/>
      <protection/>
    </xf>
    <xf numFmtId="4" fontId="1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79" xfId="0" applyBorder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2"/>
  <sheetViews>
    <sheetView tabSelected="1" zoomScalePageLayoutView="0" workbookViewId="0" topLeftCell="A53">
      <selection activeCell="R60" sqref="R60"/>
    </sheetView>
  </sheetViews>
  <sheetFormatPr defaultColWidth="11.625" defaultRowHeight="12.75"/>
  <cols>
    <col min="1" max="1" width="1.625" style="0" customWidth="1"/>
    <col min="2" max="2" width="22.625" style="0" customWidth="1"/>
    <col min="3" max="3" width="11.625" style="0" hidden="1" customWidth="1"/>
    <col min="4" max="4" width="11.125" style="0" hidden="1" customWidth="1"/>
    <col min="5" max="5" width="11.875" style="0" hidden="1" customWidth="1"/>
    <col min="6" max="6" width="12.00390625" style="0" hidden="1" customWidth="1"/>
    <col min="7" max="8" width="12.125" style="0" hidden="1" customWidth="1"/>
    <col min="9" max="9" width="11.125" style="0" hidden="1" customWidth="1"/>
    <col min="10" max="10" width="11.125" style="0" customWidth="1"/>
    <col min="11" max="11" width="11.75390625" style="0" bestFit="1" customWidth="1"/>
    <col min="12" max="12" width="12.125" style="0" bestFit="1" customWidth="1"/>
    <col min="13" max="13" width="11.25390625" style="0" customWidth="1"/>
    <col min="14" max="15" width="11.375" style="0" customWidth="1"/>
    <col min="16" max="16" width="11.875" style="0" customWidth="1"/>
    <col min="17" max="17" width="12.25390625" style="0" customWidth="1"/>
    <col min="18" max="18" width="11.625" style="0" customWidth="1"/>
    <col min="19" max="19" width="11.875" style="0" customWidth="1"/>
    <col min="20" max="20" width="11.00390625" style="0" customWidth="1"/>
    <col min="21" max="25" width="12.75390625" style="0" customWidth="1"/>
    <col min="26" max="26" width="11.875" style="0" customWidth="1"/>
    <col min="27" max="27" width="11.00390625" style="0" customWidth="1"/>
    <col min="28" max="28" width="10.875" style="0" customWidth="1"/>
  </cols>
  <sheetData>
    <row r="1" spans="2:26" ht="33" customHeight="1">
      <c r="B1" s="247" t="s">
        <v>114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1"/>
      <c r="Z1" s="1"/>
    </row>
    <row r="2" spans="2:22" ht="27" customHeight="1">
      <c r="B2" s="251" t="s">
        <v>115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2"/>
      <c r="Q2" s="252"/>
      <c r="R2" s="252"/>
      <c r="S2" s="252"/>
      <c r="T2" s="249"/>
      <c r="U2" s="249"/>
      <c r="V2" s="249"/>
    </row>
    <row r="3" spans="16:18" ht="8.25" customHeight="1" thickBot="1">
      <c r="P3" s="250"/>
      <c r="Q3" s="250"/>
      <c r="R3" s="250"/>
    </row>
    <row r="4" spans="2:25" ht="52.5" customHeight="1" thickBot="1" thickTop="1">
      <c r="B4" s="2" t="s">
        <v>0</v>
      </c>
      <c r="C4" s="3" t="s">
        <v>1</v>
      </c>
      <c r="D4" s="4" t="s">
        <v>2</v>
      </c>
      <c r="E4" s="4" t="s">
        <v>3</v>
      </c>
      <c r="F4" s="5" t="s">
        <v>4</v>
      </c>
      <c r="G4" s="6" t="s">
        <v>5</v>
      </c>
      <c r="H4" s="6" t="s">
        <v>6</v>
      </c>
      <c r="I4" s="7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5" t="s">
        <v>13</v>
      </c>
      <c r="P4" s="8" t="s">
        <v>14</v>
      </c>
      <c r="Q4" s="8" t="s">
        <v>15</v>
      </c>
      <c r="R4" s="8" t="s">
        <v>16</v>
      </c>
      <c r="S4" s="9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</row>
    <row r="5" spans="2:25" ht="30.75" customHeight="1" thickBot="1">
      <c r="B5" s="10" t="s">
        <v>24</v>
      </c>
      <c r="C5" s="11">
        <f aca="true" t="shared" si="0" ref="C5:Y5">C6+C10</f>
        <v>22073023.2</v>
      </c>
      <c r="D5" s="11">
        <f t="shared" si="0"/>
        <v>20253758.83</v>
      </c>
      <c r="E5" s="11">
        <f t="shared" si="0"/>
        <v>19890707.900000002</v>
      </c>
      <c r="F5" s="12">
        <f t="shared" si="0"/>
        <v>24057035.43</v>
      </c>
      <c r="G5" s="13">
        <f t="shared" si="0"/>
        <v>21039445.759999998</v>
      </c>
      <c r="H5" s="13">
        <f t="shared" si="0"/>
        <v>23045270.3</v>
      </c>
      <c r="I5" s="14">
        <f t="shared" si="0"/>
        <v>22366629.3</v>
      </c>
      <c r="J5" s="70">
        <f t="shared" si="0"/>
        <v>22373842.27</v>
      </c>
      <c r="K5" s="70">
        <f t="shared" si="0"/>
        <v>26455285.36</v>
      </c>
      <c r="L5" s="70">
        <f t="shared" si="0"/>
        <v>24852435.209999997</v>
      </c>
      <c r="M5" s="70">
        <f t="shared" si="0"/>
        <v>25958419.9</v>
      </c>
      <c r="N5" s="70">
        <f t="shared" si="0"/>
        <v>27886928.37</v>
      </c>
      <c r="O5" s="71">
        <f t="shared" si="0"/>
        <v>27050697.56</v>
      </c>
      <c r="P5" s="71">
        <f t="shared" si="0"/>
        <v>25052000</v>
      </c>
      <c r="Q5" s="12">
        <f t="shared" si="0"/>
        <v>23635810</v>
      </c>
      <c r="R5" s="12">
        <f t="shared" si="0"/>
        <v>22824970</v>
      </c>
      <c r="S5" s="12">
        <f t="shared" si="0"/>
        <v>22700000</v>
      </c>
      <c r="T5" s="12">
        <f t="shared" si="0"/>
        <v>22650000</v>
      </c>
      <c r="U5" s="13">
        <f t="shared" si="0"/>
        <v>22000000</v>
      </c>
      <c r="V5" s="13">
        <f t="shared" si="0"/>
        <v>22500000</v>
      </c>
      <c r="W5" s="13">
        <f t="shared" si="0"/>
        <v>22155000</v>
      </c>
      <c r="X5" s="13">
        <f t="shared" si="0"/>
        <v>22100258.9</v>
      </c>
      <c r="Y5" s="13">
        <f t="shared" si="0"/>
        <v>22500000</v>
      </c>
    </row>
    <row r="6" spans="2:25" ht="20.25" customHeight="1" thickTop="1">
      <c r="B6" s="15" t="s">
        <v>25</v>
      </c>
      <c r="C6" s="16">
        <v>17624822.75</v>
      </c>
      <c r="D6" s="17">
        <v>18995152.36</v>
      </c>
      <c r="E6" s="18">
        <v>18982366.48</v>
      </c>
      <c r="F6" s="19">
        <v>19856965.48</v>
      </c>
      <c r="G6" s="20">
        <v>19873927.02</v>
      </c>
      <c r="H6" s="20">
        <v>20176900.45</v>
      </c>
      <c r="I6" s="56">
        <v>20604291.45</v>
      </c>
      <c r="J6" s="26">
        <v>20693223.75</v>
      </c>
      <c r="K6" s="26">
        <v>22355729.56</v>
      </c>
      <c r="L6" s="26">
        <v>22183631.58</v>
      </c>
      <c r="M6" s="26">
        <v>23301053.91</v>
      </c>
      <c r="N6" s="26">
        <v>23886928.37</v>
      </c>
      <c r="O6" s="28">
        <v>24050697.56</v>
      </c>
      <c r="P6" s="29">
        <v>23052000</v>
      </c>
      <c r="Q6" s="22">
        <v>22235810</v>
      </c>
      <c r="R6" s="22">
        <v>21624970</v>
      </c>
      <c r="S6" s="23">
        <v>21700000</v>
      </c>
      <c r="T6" s="22">
        <v>21650000</v>
      </c>
      <c r="U6" s="22">
        <v>21000000</v>
      </c>
      <c r="V6" s="22">
        <v>21500000</v>
      </c>
      <c r="W6" s="22">
        <v>21155000</v>
      </c>
      <c r="X6" s="22">
        <v>21100258.9</v>
      </c>
      <c r="Y6" s="22">
        <v>21500000</v>
      </c>
    </row>
    <row r="7" spans="2:25" ht="20.25" customHeight="1" hidden="1">
      <c r="B7" s="24" t="s">
        <v>26</v>
      </c>
      <c r="C7" s="25"/>
      <c r="D7" s="26"/>
      <c r="E7" s="27"/>
      <c r="F7" s="27"/>
      <c r="G7" s="26"/>
      <c r="H7" s="26"/>
      <c r="I7" s="26"/>
      <c r="J7" s="26"/>
      <c r="K7" s="26"/>
      <c r="L7" s="26"/>
      <c r="M7" s="26"/>
      <c r="N7" s="26"/>
      <c r="O7" s="28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2:25" ht="20.25" customHeight="1" hidden="1">
      <c r="B8" s="30" t="s">
        <v>27</v>
      </c>
      <c r="C8" s="31"/>
      <c r="D8" s="32"/>
      <c r="E8" s="33"/>
      <c r="F8" s="33"/>
      <c r="G8" s="34"/>
      <c r="H8" s="34"/>
      <c r="I8" s="35"/>
      <c r="J8" s="34">
        <v>4483716.61</v>
      </c>
      <c r="K8" s="34"/>
      <c r="L8" s="34">
        <v>4335568.24</v>
      </c>
      <c r="M8" s="34">
        <v>3444288</v>
      </c>
      <c r="N8" s="34"/>
      <c r="O8" s="36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2:25" ht="20.25" customHeight="1" hidden="1">
      <c r="B9" s="30" t="s">
        <v>28</v>
      </c>
      <c r="C9" s="31"/>
      <c r="D9" s="32"/>
      <c r="E9" s="33"/>
      <c r="F9" s="33"/>
      <c r="G9" s="26"/>
      <c r="H9" s="26"/>
      <c r="I9" s="35"/>
      <c r="J9" s="26">
        <v>101344.78</v>
      </c>
      <c r="K9" s="26"/>
      <c r="L9" s="26">
        <v>538379.07</v>
      </c>
      <c r="M9" s="26">
        <v>846030.12</v>
      </c>
      <c r="N9" s="26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2:25" ht="24" customHeight="1">
      <c r="B10" s="38" t="s">
        <v>29</v>
      </c>
      <c r="C10" s="39">
        <v>4448200.45</v>
      </c>
      <c r="D10" s="40">
        <v>1258606.47</v>
      </c>
      <c r="E10" s="27">
        <v>908341.42</v>
      </c>
      <c r="F10" s="41">
        <v>4200069.95</v>
      </c>
      <c r="G10" s="26">
        <v>1165518.74</v>
      </c>
      <c r="H10" s="26">
        <v>2868369.85</v>
      </c>
      <c r="I10" s="42">
        <v>1762337.85</v>
      </c>
      <c r="J10" s="43">
        <v>1680618.52</v>
      </c>
      <c r="K10" s="43">
        <v>4099555.8</v>
      </c>
      <c r="L10" s="43">
        <v>2668803.63</v>
      </c>
      <c r="M10" s="43">
        <v>2657365.99</v>
      </c>
      <c r="N10" s="43">
        <v>4000000</v>
      </c>
      <c r="O10" s="32">
        <v>3000000</v>
      </c>
      <c r="P10" s="44">
        <v>2000000</v>
      </c>
      <c r="Q10" s="37">
        <v>1400000</v>
      </c>
      <c r="R10" s="37">
        <v>1200000</v>
      </c>
      <c r="S10" s="45">
        <v>1000000</v>
      </c>
      <c r="T10" s="37">
        <v>1000000</v>
      </c>
      <c r="U10" s="37">
        <v>1000000</v>
      </c>
      <c r="V10" s="37">
        <v>1000000</v>
      </c>
      <c r="W10" s="37">
        <v>1000000</v>
      </c>
      <c r="X10" s="37">
        <v>1000000</v>
      </c>
      <c r="Y10" s="37">
        <v>1000000</v>
      </c>
    </row>
    <row r="11" spans="2:25" ht="26.25" customHeight="1" thickBot="1">
      <c r="B11" s="46" t="s">
        <v>30</v>
      </c>
      <c r="C11" s="47">
        <v>391709.1</v>
      </c>
      <c r="D11" s="48">
        <v>563056.43</v>
      </c>
      <c r="E11" s="49">
        <v>350817.29</v>
      </c>
      <c r="F11" s="50">
        <v>1106000</v>
      </c>
      <c r="G11" s="26">
        <v>649708.74</v>
      </c>
      <c r="H11" s="26">
        <v>534500</v>
      </c>
      <c r="I11" s="51">
        <v>534500</v>
      </c>
      <c r="J11" s="52">
        <v>567417.73</v>
      </c>
      <c r="K11" s="52">
        <v>251300</v>
      </c>
      <c r="L11" s="53">
        <v>187198.97</v>
      </c>
      <c r="M11" s="52">
        <v>322720</v>
      </c>
      <c r="N11" s="52">
        <v>350000</v>
      </c>
      <c r="O11" s="54">
        <v>400000</v>
      </c>
      <c r="P11" s="22">
        <v>280000</v>
      </c>
      <c r="Q11" s="22">
        <v>280000</v>
      </c>
      <c r="R11" s="22">
        <v>280000</v>
      </c>
      <c r="S11" s="23">
        <v>300000</v>
      </c>
      <c r="T11" s="22">
        <v>300000</v>
      </c>
      <c r="U11" s="22">
        <v>350000</v>
      </c>
      <c r="V11" s="29">
        <v>350000</v>
      </c>
      <c r="W11" s="29">
        <v>350000</v>
      </c>
      <c r="X11" s="29">
        <v>350000</v>
      </c>
      <c r="Y11" s="29">
        <v>350000</v>
      </c>
    </row>
    <row r="12" spans="2:25" ht="26.25" customHeight="1" hidden="1">
      <c r="B12" s="24" t="s">
        <v>31</v>
      </c>
      <c r="C12" s="16"/>
      <c r="D12" s="17"/>
      <c r="E12" s="17"/>
      <c r="F12" s="55"/>
      <c r="G12" s="26"/>
      <c r="H12" s="26"/>
      <c r="I12" s="56"/>
      <c r="J12" s="26">
        <v>744800</v>
      </c>
      <c r="K12" s="26"/>
      <c r="L12" s="57">
        <v>1616078.67</v>
      </c>
      <c r="M12" s="26">
        <v>244842</v>
      </c>
      <c r="N12" s="26"/>
      <c r="O12" s="26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2:25" ht="26.25" customHeight="1" hidden="1">
      <c r="B13" s="24" t="s">
        <v>32</v>
      </c>
      <c r="C13" s="16"/>
      <c r="D13" s="17"/>
      <c r="E13" s="17"/>
      <c r="F13" s="55"/>
      <c r="G13" s="26"/>
      <c r="H13" s="26"/>
      <c r="I13" s="56"/>
      <c r="J13" s="26">
        <v>376965.46</v>
      </c>
      <c r="K13" s="26"/>
      <c r="L13" s="57">
        <v>863338</v>
      </c>
      <c r="M13" s="26">
        <v>2055691.99</v>
      </c>
      <c r="N13" s="26"/>
      <c r="O13" s="26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2:25" ht="25.5" customHeight="1" thickBot="1">
      <c r="B14" s="58" t="s">
        <v>33</v>
      </c>
      <c r="C14" s="11">
        <f aca="true" t="shared" si="1" ref="C14:Y14">C15+C16</f>
        <v>22409621.75</v>
      </c>
      <c r="D14" s="11">
        <f t="shared" si="1"/>
        <v>23897881.060000002</v>
      </c>
      <c r="E14" s="11">
        <f t="shared" si="1"/>
        <v>24141370.96</v>
      </c>
      <c r="F14" s="12">
        <f t="shared" si="1"/>
        <v>28317914.01</v>
      </c>
      <c r="G14" s="13">
        <f t="shared" si="1"/>
        <v>24768945.13</v>
      </c>
      <c r="H14" s="13">
        <f t="shared" si="1"/>
        <v>25647930.07</v>
      </c>
      <c r="I14" s="14">
        <f t="shared" si="1"/>
        <v>24289943.32</v>
      </c>
      <c r="J14" s="59">
        <f t="shared" si="1"/>
        <v>23447759.16</v>
      </c>
      <c r="K14" s="59">
        <f t="shared" si="1"/>
        <v>30329315.97</v>
      </c>
      <c r="L14" s="59">
        <f t="shared" si="1"/>
        <v>27111514.58</v>
      </c>
      <c r="M14" s="59">
        <f t="shared" si="1"/>
        <v>28533670.46</v>
      </c>
      <c r="N14" s="59">
        <f t="shared" si="1"/>
        <v>25646837.06</v>
      </c>
      <c r="O14" s="60">
        <f t="shared" si="1"/>
        <v>24684000</v>
      </c>
      <c r="P14" s="60">
        <f t="shared" si="1"/>
        <v>23021502.72</v>
      </c>
      <c r="Q14" s="60">
        <f t="shared" si="1"/>
        <v>21650000</v>
      </c>
      <c r="R14" s="60">
        <f t="shared" si="1"/>
        <v>20460000</v>
      </c>
      <c r="S14" s="60">
        <f t="shared" si="1"/>
        <v>20300000</v>
      </c>
      <c r="T14" s="61">
        <f t="shared" si="1"/>
        <v>20600000</v>
      </c>
      <c r="U14" s="61">
        <f t="shared" si="1"/>
        <v>20500000</v>
      </c>
      <c r="V14" s="13">
        <f t="shared" si="1"/>
        <v>21543400</v>
      </c>
      <c r="W14" s="13">
        <f t="shared" si="1"/>
        <v>21311100</v>
      </c>
      <c r="X14" s="62">
        <f t="shared" si="1"/>
        <v>21297874</v>
      </c>
      <c r="Y14" s="62">
        <f t="shared" si="1"/>
        <v>22500000</v>
      </c>
    </row>
    <row r="15" spans="2:25" ht="21" customHeight="1" thickTop="1">
      <c r="B15" s="30" t="s">
        <v>34</v>
      </c>
      <c r="C15" s="31">
        <v>16068969.17</v>
      </c>
      <c r="D15" s="43">
        <v>17532283.87</v>
      </c>
      <c r="E15" s="43">
        <v>18157841.16</v>
      </c>
      <c r="F15" s="32">
        <v>20356255.14</v>
      </c>
      <c r="G15" s="26">
        <v>20778336.38</v>
      </c>
      <c r="H15" s="26">
        <v>20172834.45</v>
      </c>
      <c r="I15" s="63">
        <v>20383294.45</v>
      </c>
      <c r="J15" s="43">
        <v>20367509.72</v>
      </c>
      <c r="K15" s="43">
        <v>21601622.41</v>
      </c>
      <c r="L15" s="43">
        <v>20508594.83</v>
      </c>
      <c r="M15" s="43">
        <v>22797713.52</v>
      </c>
      <c r="N15" s="43">
        <v>21531837.06</v>
      </c>
      <c r="O15" s="32">
        <v>21296000</v>
      </c>
      <c r="P15" s="29">
        <v>20721502.72</v>
      </c>
      <c r="Q15" s="29">
        <v>19950000</v>
      </c>
      <c r="R15" s="29">
        <v>18811000</v>
      </c>
      <c r="S15" s="64">
        <v>18800000</v>
      </c>
      <c r="T15" s="29">
        <v>19000000</v>
      </c>
      <c r="U15" s="29">
        <v>19000000</v>
      </c>
      <c r="V15" s="29">
        <v>19843400</v>
      </c>
      <c r="W15" s="29">
        <v>19511100</v>
      </c>
      <c r="X15" s="29">
        <v>19597874</v>
      </c>
      <c r="Y15" s="65">
        <v>20700000</v>
      </c>
    </row>
    <row r="16" spans="2:25" ht="22.5" customHeight="1" thickBot="1">
      <c r="B16" s="66" t="s">
        <v>35</v>
      </c>
      <c r="C16" s="47">
        <v>6340652.58</v>
      </c>
      <c r="D16" s="48">
        <v>6365597.19</v>
      </c>
      <c r="E16" s="67">
        <v>5983529.8</v>
      </c>
      <c r="F16" s="54">
        <v>7961658.87</v>
      </c>
      <c r="G16" s="26">
        <v>3990608.75</v>
      </c>
      <c r="H16" s="26">
        <v>5475095.62</v>
      </c>
      <c r="I16" s="51">
        <v>3906648.87</v>
      </c>
      <c r="J16" s="48">
        <v>3080249.44</v>
      </c>
      <c r="K16" s="48">
        <v>8727693.56</v>
      </c>
      <c r="L16" s="48">
        <v>6602919.75</v>
      </c>
      <c r="M16" s="48">
        <v>5735956.94</v>
      </c>
      <c r="N16" s="48">
        <v>4115000</v>
      </c>
      <c r="O16" s="68">
        <v>3388000</v>
      </c>
      <c r="P16" s="29">
        <v>2300000</v>
      </c>
      <c r="Q16" s="29">
        <v>1700000</v>
      </c>
      <c r="R16" s="29">
        <v>1649000</v>
      </c>
      <c r="S16" s="64">
        <v>1500000</v>
      </c>
      <c r="T16" s="29">
        <v>1600000</v>
      </c>
      <c r="U16" s="29">
        <v>1500000</v>
      </c>
      <c r="V16" s="29">
        <v>1700000</v>
      </c>
      <c r="W16" s="29">
        <v>1800000</v>
      </c>
      <c r="X16" s="29">
        <v>1700000</v>
      </c>
      <c r="Y16" s="65">
        <v>1800000</v>
      </c>
    </row>
    <row r="17" spans="2:25" ht="25.5" customHeight="1" thickBot="1">
      <c r="B17" s="69" t="s">
        <v>36</v>
      </c>
      <c r="C17" s="70">
        <f aca="true" t="shared" si="2" ref="C17:X17">C5-C14</f>
        <v>-336598.55000000075</v>
      </c>
      <c r="D17" s="70">
        <f t="shared" si="2"/>
        <v>-3644122.230000004</v>
      </c>
      <c r="E17" s="70">
        <f t="shared" si="2"/>
        <v>-4250663.059999999</v>
      </c>
      <c r="F17" s="71">
        <f t="shared" si="2"/>
        <v>-4260878.580000002</v>
      </c>
      <c r="G17" s="13">
        <f t="shared" si="2"/>
        <v>-3729499.370000001</v>
      </c>
      <c r="H17" s="13">
        <f t="shared" si="2"/>
        <v>-2602659.7699999996</v>
      </c>
      <c r="I17" s="72">
        <f t="shared" si="2"/>
        <v>-1923314.0199999996</v>
      </c>
      <c r="J17" s="70">
        <f t="shared" si="2"/>
        <v>-1073916.8900000006</v>
      </c>
      <c r="K17" s="70">
        <f t="shared" si="2"/>
        <v>-3874030.6099999994</v>
      </c>
      <c r="L17" s="70">
        <f t="shared" si="2"/>
        <v>-2259079.370000001</v>
      </c>
      <c r="M17" s="70">
        <f t="shared" si="2"/>
        <v>-2575250.5600000024</v>
      </c>
      <c r="N17" s="70">
        <f t="shared" si="2"/>
        <v>2240091.3100000024</v>
      </c>
      <c r="O17" s="71">
        <f t="shared" si="2"/>
        <v>2366697.5599999987</v>
      </c>
      <c r="P17" s="71">
        <f t="shared" si="2"/>
        <v>2030497.2800000012</v>
      </c>
      <c r="Q17" s="71">
        <f t="shared" si="2"/>
        <v>1985810</v>
      </c>
      <c r="R17" s="71">
        <f t="shared" si="2"/>
        <v>2364970</v>
      </c>
      <c r="S17" s="71">
        <f t="shared" si="2"/>
        <v>2400000</v>
      </c>
      <c r="T17" s="13">
        <f t="shared" si="2"/>
        <v>2050000</v>
      </c>
      <c r="U17" s="13">
        <f t="shared" si="2"/>
        <v>1500000</v>
      </c>
      <c r="V17" s="13">
        <f t="shared" si="2"/>
        <v>956600</v>
      </c>
      <c r="W17" s="13">
        <f t="shared" si="2"/>
        <v>843900</v>
      </c>
      <c r="X17" s="13">
        <f t="shared" si="2"/>
        <v>802384.8999999985</v>
      </c>
      <c r="Y17" s="73">
        <f>Y5-Y14</f>
        <v>0</v>
      </c>
    </row>
    <row r="18" spans="2:25" ht="21" customHeight="1" thickBot="1" thickTop="1">
      <c r="B18" s="74" t="s">
        <v>37</v>
      </c>
      <c r="C18" s="75">
        <f aca="true" t="shared" si="3" ref="C18:Y18">C19-C30</f>
        <v>974848.5600000005</v>
      </c>
      <c r="D18" s="75">
        <f t="shared" si="3"/>
        <v>4548260.890000001</v>
      </c>
      <c r="E18" s="75">
        <f t="shared" si="3"/>
        <v>4264539.380000001</v>
      </c>
      <c r="F18" s="76">
        <f t="shared" si="3"/>
        <v>4260878.58</v>
      </c>
      <c r="G18" s="13">
        <f t="shared" si="3"/>
        <v>3857555.9299999997</v>
      </c>
      <c r="H18" s="13">
        <f t="shared" si="3"/>
        <v>2602659.7699999996</v>
      </c>
      <c r="I18" s="77">
        <f t="shared" si="3"/>
        <v>1923314.0199999986</v>
      </c>
      <c r="J18" s="75">
        <f t="shared" si="3"/>
        <v>965738.2199999997</v>
      </c>
      <c r="K18" s="75">
        <f t="shared" si="3"/>
        <v>3874030.6099999994</v>
      </c>
      <c r="L18" s="75">
        <f t="shared" si="3"/>
        <v>2676721.709999998</v>
      </c>
      <c r="M18" s="75">
        <f t="shared" si="3"/>
        <v>2575250.56</v>
      </c>
      <c r="N18" s="75">
        <f t="shared" si="3"/>
        <v>-2240091.31</v>
      </c>
      <c r="O18" s="76">
        <f t="shared" si="3"/>
        <v>-2366697.56</v>
      </c>
      <c r="P18" s="76">
        <f t="shared" si="3"/>
        <v>-2030497.28</v>
      </c>
      <c r="Q18" s="76">
        <f t="shared" si="3"/>
        <v>-1985810</v>
      </c>
      <c r="R18" s="76">
        <f t="shared" si="3"/>
        <v>-2364970</v>
      </c>
      <c r="S18" s="76">
        <f t="shared" si="3"/>
        <v>-2400000</v>
      </c>
      <c r="T18" s="13">
        <f t="shared" si="3"/>
        <v>-2050000</v>
      </c>
      <c r="U18" s="13">
        <f t="shared" si="3"/>
        <v>-1500000.0000000037</v>
      </c>
      <c r="V18" s="13">
        <f t="shared" si="3"/>
        <v>-956600.0000000037</v>
      </c>
      <c r="W18" s="13">
        <f t="shared" si="3"/>
        <v>-843900.0000000037</v>
      </c>
      <c r="X18" s="73">
        <f t="shared" si="3"/>
        <v>-802384.9000000037</v>
      </c>
      <c r="Y18" s="73">
        <f t="shared" si="3"/>
        <v>-5.238689482212067E-09</v>
      </c>
    </row>
    <row r="19" spans="2:25" ht="26.25" customHeight="1" thickTop="1">
      <c r="B19" s="78" t="s">
        <v>38</v>
      </c>
      <c r="C19" s="79">
        <f>C20+C22+C24+C25+C26+C27+C28</f>
        <v>4981994.23</v>
      </c>
      <c r="D19" s="79">
        <f>D20+D22+D24+D25+D26+D27+D28</f>
        <v>5344932.12</v>
      </c>
      <c r="E19" s="79">
        <f>E20+E22+E24+E25+E26+E27+E28</f>
        <v>5015698.380000001</v>
      </c>
      <c r="F19" s="80">
        <f>F20+F22+F24+F25+F26+F27+F28</f>
        <v>6166838.86</v>
      </c>
      <c r="G19" s="13">
        <f aca="true" t="shared" si="4" ref="G19:Y19">G20+G22+G24+G25+G26+G28+G27</f>
        <v>5529932.35</v>
      </c>
      <c r="H19" s="13">
        <f t="shared" si="4"/>
        <v>4943050.899999999</v>
      </c>
      <c r="I19" s="81">
        <f t="shared" si="4"/>
        <v>4263705.1499999985</v>
      </c>
      <c r="J19" s="79">
        <f t="shared" si="4"/>
        <v>3194916.79</v>
      </c>
      <c r="K19" s="79">
        <f t="shared" si="4"/>
        <v>5855704.18</v>
      </c>
      <c r="L19" s="79">
        <f t="shared" si="4"/>
        <v>4658395.279999998</v>
      </c>
      <c r="M19" s="79">
        <f t="shared" si="4"/>
        <v>5730930.45</v>
      </c>
      <c r="N19" s="79">
        <f t="shared" si="4"/>
        <v>0</v>
      </c>
      <c r="O19" s="79">
        <f t="shared" si="4"/>
        <v>0</v>
      </c>
      <c r="P19" s="79">
        <f t="shared" si="4"/>
        <v>0</v>
      </c>
      <c r="Q19" s="79">
        <f t="shared" si="4"/>
        <v>0</v>
      </c>
      <c r="R19" s="79">
        <f t="shared" si="4"/>
        <v>0</v>
      </c>
      <c r="S19" s="79">
        <f t="shared" si="4"/>
        <v>0</v>
      </c>
      <c r="T19" s="13">
        <f t="shared" si="4"/>
        <v>0</v>
      </c>
      <c r="U19" s="13">
        <f t="shared" si="4"/>
        <v>-3.725290298461914E-09</v>
      </c>
      <c r="V19" s="13">
        <f t="shared" si="4"/>
        <v>-3.725290298461914E-09</v>
      </c>
      <c r="W19" s="13">
        <f t="shared" si="4"/>
        <v>-3.725290298461914E-09</v>
      </c>
      <c r="X19" s="73">
        <f t="shared" si="4"/>
        <v>-3.725290298461914E-09</v>
      </c>
      <c r="Y19" s="73">
        <f t="shared" si="4"/>
        <v>-5.238689482212067E-09</v>
      </c>
    </row>
    <row r="20" spans="2:25" ht="23.25" customHeight="1">
      <c r="B20" s="38" t="s">
        <v>39</v>
      </c>
      <c r="C20" s="39">
        <v>3507517.36</v>
      </c>
      <c r="D20" s="67">
        <v>4706682.11</v>
      </c>
      <c r="E20" s="67">
        <v>4749809.73</v>
      </c>
      <c r="F20" s="40">
        <v>6166838.86</v>
      </c>
      <c r="G20" s="26">
        <v>5516055.42</v>
      </c>
      <c r="H20" s="26">
        <v>4284994.34</v>
      </c>
      <c r="I20" s="42">
        <v>3605648.59</v>
      </c>
      <c r="J20" s="82">
        <v>2956860.23</v>
      </c>
      <c r="K20" s="82">
        <v>5373882.85</v>
      </c>
      <c r="L20" s="67">
        <v>4290573.95</v>
      </c>
      <c r="M20" s="67">
        <v>5199288.11</v>
      </c>
      <c r="N20" s="67"/>
      <c r="O20" s="40"/>
      <c r="P20" s="83"/>
      <c r="Q20" s="83"/>
      <c r="R20" s="83"/>
      <c r="S20" s="84"/>
      <c r="T20" s="83"/>
      <c r="U20" s="83"/>
      <c r="V20" s="83"/>
      <c r="W20" s="83"/>
      <c r="X20" s="84"/>
      <c r="Y20" s="83"/>
    </row>
    <row r="21" spans="2:25" ht="49.5" customHeight="1">
      <c r="B21" s="38" t="s">
        <v>40</v>
      </c>
      <c r="C21" s="39">
        <v>3507517.36</v>
      </c>
      <c r="D21" s="67"/>
      <c r="E21" s="67"/>
      <c r="F21" s="40">
        <v>951570.06</v>
      </c>
      <c r="G21" s="26">
        <v>1338120</v>
      </c>
      <c r="H21" s="26">
        <v>1393511.26</v>
      </c>
      <c r="I21" s="42">
        <v>516768.35</v>
      </c>
      <c r="J21" s="85">
        <v>86923.89</v>
      </c>
      <c r="K21" s="85">
        <v>3989838.88</v>
      </c>
      <c r="L21" s="85">
        <v>3590573.95</v>
      </c>
      <c r="M21" s="67">
        <v>3170291.66</v>
      </c>
      <c r="N21" s="67">
        <v>0</v>
      </c>
      <c r="O21" s="40">
        <v>0</v>
      </c>
      <c r="P21" s="83"/>
      <c r="Q21" s="83"/>
      <c r="R21" s="83"/>
      <c r="S21" s="84"/>
      <c r="T21" s="83"/>
      <c r="U21" s="83"/>
      <c r="V21" s="83"/>
      <c r="W21" s="83"/>
      <c r="X21" s="84"/>
      <c r="Y21" s="83"/>
    </row>
    <row r="22" spans="2:25" ht="24.75" customHeight="1" hidden="1">
      <c r="B22" s="38" t="s">
        <v>41</v>
      </c>
      <c r="C22" s="39"/>
      <c r="D22" s="67"/>
      <c r="E22" s="67"/>
      <c r="F22" s="40"/>
      <c r="G22" s="26">
        <v>0</v>
      </c>
      <c r="H22" s="26"/>
      <c r="I22" s="42">
        <v>0</v>
      </c>
      <c r="J22" s="67"/>
      <c r="K22" s="67"/>
      <c r="L22" s="67"/>
      <c r="M22" s="67"/>
      <c r="N22" s="67"/>
      <c r="O22" s="40"/>
      <c r="P22" s="83"/>
      <c r="Q22" s="83"/>
      <c r="R22" s="83"/>
      <c r="S22" s="83"/>
      <c r="T22" s="83"/>
      <c r="U22" s="83"/>
      <c r="V22" s="83"/>
      <c r="W22" s="83"/>
      <c r="X22" s="84"/>
      <c r="Y22" s="83"/>
    </row>
    <row r="23" spans="2:25" ht="43.5" customHeight="1" hidden="1">
      <c r="B23" s="38" t="s">
        <v>42</v>
      </c>
      <c r="C23" s="39"/>
      <c r="D23" s="67"/>
      <c r="E23" s="67"/>
      <c r="F23" s="40"/>
      <c r="G23" s="26">
        <v>0</v>
      </c>
      <c r="H23" s="26"/>
      <c r="I23" s="42">
        <v>0</v>
      </c>
      <c r="J23" s="67"/>
      <c r="K23" s="67"/>
      <c r="L23" s="67"/>
      <c r="M23" s="67"/>
      <c r="N23" s="67"/>
      <c r="O23" s="40"/>
      <c r="P23" s="83"/>
      <c r="Q23" s="83"/>
      <c r="R23" s="83"/>
      <c r="S23" s="83"/>
      <c r="T23" s="83"/>
      <c r="U23" s="83"/>
      <c r="V23" s="83"/>
      <c r="W23" s="83"/>
      <c r="X23" s="84"/>
      <c r="Y23" s="83"/>
    </row>
    <row r="24" spans="2:25" ht="24" customHeight="1">
      <c r="B24" s="38" t="s">
        <v>43</v>
      </c>
      <c r="C24" s="39"/>
      <c r="D24" s="67"/>
      <c r="E24" s="67"/>
      <c r="F24" s="40"/>
      <c r="G24" s="26">
        <v>0</v>
      </c>
      <c r="H24" s="26">
        <v>530000</v>
      </c>
      <c r="I24" s="42">
        <v>530000</v>
      </c>
      <c r="J24" s="67">
        <v>110000</v>
      </c>
      <c r="K24" s="67">
        <v>245000</v>
      </c>
      <c r="L24" s="67">
        <v>131000</v>
      </c>
      <c r="M24" s="67"/>
      <c r="N24" s="67">
        <v>0</v>
      </c>
      <c r="O24" s="40"/>
      <c r="P24" s="83">
        <v>0</v>
      </c>
      <c r="Q24" s="83"/>
      <c r="R24" s="83"/>
      <c r="S24" s="83"/>
      <c r="T24" s="83"/>
      <c r="U24" s="83"/>
      <c r="V24" s="83"/>
      <c r="W24" s="83"/>
      <c r="X24" s="84"/>
      <c r="Y24" s="83"/>
    </row>
    <row r="25" spans="2:25" ht="28.5" customHeight="1" hidden="1">
      <c r="B25" s="38" t="s">
        <v>44</v>
      </c>
      <c r="C25" s="39"/>
      <c r="D25" s="67"/>
      <c r="E25" s="67"/>
      <c r="F25" s="40"/>
      <c r="G25" s="26">
        <v>0</v>
      </c>
      <c r="H25" s="26"/>
      <c r="I25" s="42">
        <v>0</v>
      </c>
      <c r="J25" s="67"/>
      <c r="K25" s="67"/>
      <c r="L25" s="67"/>
      <c r="M25" s="67"/>
      <c r="N25" s="67"/>
      <c r="O25" s="40"/>
      <c r="P25" s="83"/>
      <c r="Q25" s="83"/>
      <c r="R25" s="83"/>
      <c r="S25" s="83"/>
      <c r="T25" s="83"/>
      <c r="U25" s="83"/>
      <c r="V25" s="83"/>
      <c r="W25" s="83"/>
      <c r="X25" s="84"/>
      <c r="Y25" s="83"/>
    </row>
    <row r="26" spans="2:25" ht="27" customHeight="1" hidden="1">
      <c r="B26" s="38" t="s">
        <v>45</v>
      </c>
      <c r="C26" s="39"/>
      <c r="D26" s="67"/>
      <c r="E26" s="67"/>
      <c r="F26" s="40"/>
      <c r="G26" s="26">
        <v>0</v>
      </c>
      <c r="H26" s="26"/>
      <c r="I26" s="86">
        <v>0</v>
      </c>
      <c r="J26" s="52"/>
      <c r="K26" s="52"/>
      <c r="L26" s="52"/>
      <c r="M26" s="52"/>
      <c r="N26" s="52"/>
      <c r="O26" s="54"/>
      <c r="P26" s="87"/>
      <c r="Q26" s="87"/>
      <c r="R26" s="87"/>
      <c r="S26" s="83"/>
      <c r="T26" s="83"/>
      <c r="U26" s="83"/>
      <c r="V26" s="83"/>
      <c r="W26" s="83"/>
      <c r="X26" s="84"/>
      <c r="Y26" s="83"/>
    </row>
    <row r="27" spans="2:25" ht="23.25" customHeight="1">
      <c r="B27" s="38" t="s">
        <v>46</v>
      </c>
      <c r="C27" s="39">
        <v>1474476.87</v>
      </c>
      <c r="D27" s="67">
        <v>638250.01</v>
      </c>
      <c r="E27" s="67">
        <v>265888.65</v>
      </c>
      <c r="F27" s="40"/>
      <c r="G27" s="29">
        <f>E63+E53</f>
        <v>13876.929999999702</v>
      </c>
      <c r="H27" s="29">
        <v>128056.56</v>
      </c>
      <c r="I27" s="88">
        <f>G63+G53</f>
        <v>128056.55999999866</v>
      </c>
      <c r="J27" s="88">
        <v>128056.56</v>
      </c>
      <c r="K27" s="88">
        <v>236821.33</v>
      </c>
      <c r="L27" s="29">
        <f>J63+J53</f>
        <v>236821.3299999982</v>
      </c>
      <c r="M27" s="29">
        <v>531642.34</v>
      </c>
      <c r="N27" s="29">
        <f aca="true" t="shared" si="5" ref="N27:Y27">M64</f>
        <v>0</v>
      </c>
      <c r="O27" s="29">
        <f t="shared" si="5"/>
        <v>0</v>
      </c>
      <c r="P27" s="29">
        <f t="shared" si="5"/>
        <v>0</v>
      </c>
      <c r="Q27" s="29">
        <f t="shared" si="5"/>
        <v>0</v>
      </c>
      <c r="R27" s="29">
        <f t="shared" si="5"/>
        <v>0</v>
      </c>
      <c r="S27" s="29">
        <f t="shared" si="5"/>
        <v>0</v>
      </c>
      <c r="T27" s="29">
        <f t="shared" si="5"/>
        <v>0</v>
      </c>
      <c r="U27" s="29">
        <f t="shared" si="5"/>
        <v>-3.725290298461914E-09</v>
      </c>
      <c r="V27" s="29">
        <f t="shared" si="5"/>
        <v>-3.725290298461914E-09</v>
      </c>
      <c r="W27" s="29">
        <f t="shared" si="5"/>
        <v>-3.725290298461914E-09</v>
      </c>
      <c r="X27" s="64">
        <f t="shared" si="5"/>
        <v>-3.725290298461914E-09</v>
      </c>
      <c r="Y27" s="64">
        <f t="shared" si="5"/>
        <v>-5.238689482212067E-09</v>
      </c>
    </row>
    <row r="28" spans="2:25" ht="21.75" customHeight="1" hidden="1">
      <c r="B28" s="46" t="s">
        <v>47</v>
      </c>
      <c r="C28" s="89"/>
      <c r="D28" s="52"/>
      <c r="E28" s="52"/>
      <c r="F28" s="54"/>
      <c r="G28" s="26"/>
      <c r="H28" s="26"/>
      <c r="I28" s="21"/>
      <c r="J28" s="17"/>
      <c r="K28" s="17"/>
      <c r="L28" s="17"/>
      <c r="M28" s="17"/>
      <c r="N28" s="17"/>
      <c r="O28" s="55"/>
      <c r="P28" s="90"/>
      <c r="Q28" s="90"/>
      <c r="R28" s="90"/>
      <c r="S28" s="83"/>
      <c r="T28" s="83"/>
      <c r="U28" s="83"/>
      <c r="V28" s="83"/>
      <c r="W28" s="83"/>
      <c r="X28" s="84"/>
      <c r="Y28" s="83"/>
    </row>
    <row r="29" spans="2:25" ht="15" customHeight="1" thickBot="1">
      <c r="B29" s="15"/>
      <c r="C29" s="16"/>
      <c r="D29" s="17"/>
      <c r="E29" s="17"/>
      <c r="F29" s="55"/>
      <c r="G29" s="26"/>
      <c r="H29" s="26"/>
      <c r="I29" s="21"/>
      <c r="J29" s="241">
        <v>2011</v>
      </c>
      <c r="K29" s="242" t="s">
        <v>109</v>
      </c>
      <c r="L29" s="241">
        <v>2012</v>
      </c>
      <c r="M29" s="241">
        <v>2013</v>
      </c>
      <c r="N29" s="241">
        <v>2014</v>
      </c>
      <c r="O29" s="243">
        <v>2015</v>
      </c>
      <c r="P29" s="244">
        <v>2016</v>
      </c>
      <c r="Q29" s="244">
        <v>2017</v>
      </c>
      <c r="R29" s="244">
        <v>2018</v>
      </c>
      <c r="S29" s="244">
        <v>2019</v>
      </c>
      <c r="T29" s="244">
        <v>2020</v>
      </c>
      <c r="U29" s="244">
        <v>2021</v>
      </c>
      <c r="V29" s="244">
        <v>2022</v>
      </c>
      <c r="W29" s="244">
        <v>2023</v>
      </c>
      <c r="X29" s="244">
        <v>2024</v>
      </c>
      <c r="Y29" s="244">
        <v>2025</v>
      </c>
    </row>
    <row r="30" spans="2:27" ht="24.75" customHeight="1" thickBot="1" thickTop="1">
      <c r="B30" s="74" t="s">
        <v>48</v>
      </c>
      <c r="C30" s="75">
        <f aca="true" t="shared" si="6" ref="C30:Y30">C31+C34+C36+C37</f>
        <v>4007145.67</v>
      </c>
      <c r="D30" s="75">
        <f t="shared" si="6"/>
        <v>796671.23</v>
      </c>
      <c r="E30" s="75">
        <f t="shared" si="6"/>
        <v>751159</v>
      </c>
      <c r="F30" s="76">
        <f t="shared" si="6"/>
        <v>1905960.28</v>
      </c>
      <c r="G30" s="13">
        <f t="shared" si="6"/>
        <v>1672376.42</v>
      </c>
      <c r="H30" s="13">
        <f t="shared" si="6"/>
        <v>2340391.13</v>
      </c>
      <c r="I30" s="77">
        <f t="shared" si="6"/>
        <v>2340391.13</v>
      </c>
      <c r="J30" s="75">
        <f t="shared" si="6"/>
        <v>2229178.5700000003</v>
      </c>
      <c r="K30" s="75">
        <f t="shared" si="6"/>
        <v>1981673.57</v>
      </c>
      <c r="L30" s="75">
        <f t="shared" si="6"/>
        <v>1981673.57</v>
      </c>
      <c r="M30" s="91">
        <f t="shared" si="6"/>
        <v>3155679.89</v>
      </c>
      <c r="N30" s="91">
        <f t="shared" si="6"/>
        <v>2240091.31</v>
      </c>
      <c r="O30" s="92">
        <f t="shared" si="6"/>
        <v>2366697.56</v>
      </c>
      <c r="P30" s="76">
        <f t="shared" si="6"/>
        <v>2030497.28</v>
      </c>
      <c r="Q30" s="76">
        <f t="shared" si="6"/>
        <v>1985810</v>
      </c>
      <c r="R30" s="76">
        <f t="shared" si="6"/>
        <v>2364970</v>
      </c>
      <c r="S30" s="76">
        <f t="shared" si="6"/>
        <v>2400000</v>
      </c>
      <c r="T30" s="76">
        <f t="shared" si="6"/>
        <v>2050000</v>
      </c>
      <c r="U30" s="76">
        <f t="shared" si="6"/>
        <v>1500000</v>
      </c>
      <c r="V30" s="76">
        <f t="shared" si="6"/>
        <v>956600</v>
      </c>
      <c r="W30" s="76">
        <f t="shared" si="6"/>
        <v>843900</v>
      </c>
      <c r="X30" s="76">
        <f t="shared" si="6"/>
        <v>802384.9</v>
      </c>
      <c r="Y30" s="76">
        <f t="shared" si="6"/>
        <v>0</v>
      </c>
      <c r="AA30" s="93">
        <v>19413524.21</v>
      </c>
    </row>
    <row r="31" spans="2:29" ht="27.75" customHeight="1" thickTop="1">
      <c r="B31" s="15" t="s">
        <v>49</v>
      </c>
      <c r="C31" s="16">
        <v>4007145.67</v>
      </c>
      <c r="D31" s="17">
        <v>796671.23</v>
      </c>
      <c r="E31" s="17">
        <v>751159</v>
      </c>
      <c r="F31" s="55">
        <v>1905960.28</v>
      </c>
      <c r="G31" s="20">
        <v>1672376.42</v>
      </c>
      <c r="H31" s="20">
        <v>1682334.57</v>
      </c>
      <c r="I31" s="205">
        <v>1682334.57</v>
      </c>
      <c r="J31" s="206">
        <v>1774178.57</v>
      </c>
      <c r="K31" s="94">
        <v>1736673.57</v>
      </c>
      <c r="L31" s="94">
        <v>1736673.57</v>
      </c>
      <c r="M31" s="207">
        <v>3155679.89</v>
      </c>
      <c r="N31" s="95">
        <v>2240091.31</v>
      </c>
      <c r="O31" s="95">
        <v>2366697.56</v>
      </c>
      <c r="P31" s="96">
        <v>2030497.28</v>
      </c>
      <c r="Q31" s="96">
        <v>1985810</v>
      </c>
      <c r="R31" s="96">
        <v>2364970</v>
      </c>
      <c r="S31" s="96">
        <v>2400000</v>
      </c>
      <c r="T31" s="96">
        <v>2050000</v>
      </c>
      <c r="U31" s="96">
        <v>1500000</v>
      </c>
      <c r="V31" s="96">
        <v>956600</v>
      </c>
      <c r="W31" s="96">
        <v>843900</v>
      </c>
      <c r="X31" s="97">
        <v>802384.9</v>
      </c>
      <c r="Y31" s="97">
        <v>0</v>
      </c>
      <c r="Z31" s="93">
        <f>SUM(M31:Y31)</f>
        <v>22696630.939999998</v>
      </c>
      <c r="AA31" s="93">
        <f>N31+O31+P31+Q31+R31+S31+T31+U31+V31+W31+X31</f>
        <v>19540951.049999997</v>
      </c>
      <c r="AB31" s="93">
        <f>Z31-AA31</f>
        <v>3155679.8900000006</v>
      </c>
      <c r="AC31" s="246">
        <v>19540951.05</v>
      </c>
    </row>
    <row r="32" spans="2:28" ht="12.75" customHeight="1">
      <c r="B32" s="24"/>
      <c r="C32" s="25"/>
      <c r="D32" s="26"/>
      <c r="E32" s="26"/>
      <c r="F32" s="26"/>
      <c r="G32" s="26"/>
      <c r="H32" s="26"/>
      <c r="I32" s="28"/>
      <c r="J32" s="28"/>
      <c r="K32" s="28"/>
      <c r="L32" s="28"/>
      <c r="M32" s="95"/>
      <c r="N32" s="98"/>
      <c r="O32" s="98"/>
      <c r="P32" s="96"/>
      <c r="Q32" s="96"/>
      <c r="R32" s="96"/>
      <c r="S32" s="96"/>
      <c r="T32" s="96"/>
      <c r="U32" s="96"/>
      <c r="V32" s="96"/>
      <c r="W32" s="96"/>
      <c r="X32" s="97"/>
      <c r="Y32" s="99"/>
      <c r="Z32" s="93"/>
      <c r="AA32" s="93"/>
      <c r="AB32" s="93"/>
    </row>
    <row r="33" spans="2:28" ht="45" customHeight="1">
      <c r="B33" s="30" t="s">
        <v>50</v>
      </c>
      <c r="C33" s="31">
        <v>3755189.42</v>
      </c>
      <c r="D33" s="43">
        <v>500592.63</v>
      </c>
      <c r="E33" s="43"/>
      <c r="F33" s="32">
        <v>245250</v>
      </c>
      <c r="G33" s="34">
        <v>245250</v>
      </c>
      <c r="H33" s="34">
        <v>266928.87</v>
      </c>
      <c r="I33" s="63">
        <v>266928.87</v>
      </c>
      <c r="J33" s="32">
        <v>265595.31</v>
      </c>
      <c r="K33" s="34"/>
      <c r="L33" s="208"/>
      <c r="M33" s="34">
        <v>891305.18</v>
      </c>
      <c r="N33" s="26">
        <v>1800878.57</v>
      </c>
      <c r="O33" s="26">
        <v>1557944.56</v>
      </c>
      <c r="P33" s="29">
        <v>640600</v>
      </c>
      <c r="Q33" s="29">
        <v>440000</v>
      </c>
      <c r="R33" s="29">
        <v>311237.38</v>
      </c>
      <c r="S33" s="29">
        <v>270698.62</v>
      </c>
      <c r="T33" s="29">
        <v>230401.3</v>
      </c>
      <c r="U33" s="29">
        <v>200000</v>
      </c>
      <c r="V33" s="29">
        <v>170000</v>
      </c>
      <c r="W33" s="29">
        <v>207800</v>
      </c>
      <c r="X33" s="100">
        <v>200000</v>
      </c>
      <c r="Y33" s="101"/>
      <c r="Z33" s="93">
        <f>SUM(M33:X33)</f>
        <v>6920865.61</v>
      </c>
      <c r="AA33" s="93">
        <f>N33+O33+P33+Q33+R33+S33+T33+U33+V33+W33+X33</f>
        <v>6029560.43</v>
      </c>
      <c r="AB33" s="102">
        <f>Z33-AA33</f>
        <v>891305.1800000006</v>
      </c>
    </row>
    <row r="34" spans="2:25" ht="33.75" customHeight="1" hidden="1">
      <c r="B34" s="38" t="s">
        <v>51</v>
      </c>
      <c r="C34" s="39"/>
      <c r="D34" s="67"/>
      <c r="E34" s="67"/>
      <c r="F34" s="40"/>
      <c r="G34" s="26"/>
      <c r="H34" s="26"/>
      <c r="I34" s="42"/>
      <c r="J34" s="67"/>
      <c r="K34" s="43"/>
      <c r="L34" s="43"/>
      <c r="M34" s="43"/>
      <c r="N34" s="43"/>
      <c r="O34" s="32"/>
      <c r="P34" s="83"/>
      <c r="Q34" s="83"/>
      <c r="R34" s="83"/>
      <c r="S34" s="83"/>
      <c r="T34" s="83"/>
      <c r="U34" s="83"/>
      <c r="V34" s="83"/>
      <c r="W34" s="83"/>
      <c r="X34" s="84"/>
      <c r="Y34" s="83"/>
    </row>
    <row r="35" spans="2:25" ht="76.5" customHeight="1" hidden="1">
      <c r="B35" s="38" t="s">
        <v>52</v>
      </c>
      <c r="C35" s="39"/>
      <c r="D35" s="67"/>
      <c r="E35" s="67"/>
      <c r="F35" s="40"/>
      <c r="G35" s="26"/>
      <c r="H35" s="26"/>
      <c r="I35" s="42"/>
      <c r="J35" s="67"/>
      <c r="K35" s="67"/>
      <c r="L35" s="67"/>
      <c r="M35" s="67"/>
      <c r="N35" s="67"/>
      <c r="O35" s="40"/>
      <c r="P35" s="83"/>
      <c r="Q35" s="83"/>
      <c r="R35" s="83"/>
      <c r="S35" s="83"/>
      <c r="T35" s="83"/>
      <c r="U35" s="83"/>
      <c r="V35" s="83"/>
      <c r="W35" s="83"/>
      <c r="X35" s="84"/>
      <c r="Y35" s="83"/>
    </row>
    <row r="36" spans="2:27" ht="23.25" customHeight="1" thickBot="1">
      <c r="B36" s="38" t="s">
        <v>53</v>
      </c>
      <c r="C36" s="39"/>
      <c r="D36" s="67"/>
      <c r="E36" s="67"/>
      <c r="F36" s="40"/>
      <c r="G36" s="26">
        <v>0</v>
      </c>
      <c r="H36" s="26">
        <v>658056.56</v>
      </c>
      <c r="I36" s="42">
        <v>658056.56</v>
      </c>
      <c r="J36" s="67">
        <v>455000</v>
      </c>
      <c r="K36" s="67">
        <v>245000</v>
      </c>
      <c r="L36" s="67">
        <v>245000</v>
      </c>
      <c r="M36" s="67">
        <v>0</v>
      </c>
      <c r="N36" s="67"/>
      <c r="O36" s="40"/>
      <c r="P36" s="83"/>
      <c r="Q36" s="83"/>
      <c r="R36" s="83"/>
      <c r="S36" s="83"/>
      <c r="T36" s="83"/>
      <c r="U36" s="83"/>
      <c r="V36" s="83"/>
      <c r="W36" s="83"/>
      <c r="X36" s="84"/>
      <c r="Y36" s="83"/>
      <c r="AA36" s="103">
        <v>5490290.48</v>
      </c>
    </row>
    <row r="37" spans="2:25" ht="35.25" customHeight="1" hidden="1">
      <c r="B37" s="66" t="s">
        <v>54</v>
      </c>
      <c r="C37" s="47"/>
      <c r="D37" s="48"/>
      <c r="E37" s="48"/>
      <c r="F37" s="68"/>
      <c r="G37" s="26"/>
      <c r="H37" s="26"/>
      <c r="I37" s="51"/>
      <c r="J37" s="48"/>
      <c r="K37" s="48"/>
      <c r="L37" s="48"/>
      <c r="M37" s="48"/>
      <c r="N37" s="48"/>
      <c r="O37" s="68"/>
      <c r="P37" s="83"/>
      <c r="Q37" s="83"/>
      <c r="R37" s="83"/>
      <c r="S37" s="83"/>
      <c r="T37" s="83"/>
      <c r="U37" s="83"/>
      <c r="V37" s="83"/>
      <c r="W37" s="83"/>
      <c r="X37" s="84"/>
      <c r="Y37" s="83"/>
    </row>
    <row r="38" spans="2:25" ht="18.75" customHeight="1" thickBot="1">
      <c r="B38" s="104" t="s">
        <v>55</v>
      </c>
      <c r="C38" s="105"/>
      <c r="D38" s="106"/>
      <c r="E38" s="106"/>
      <c r="F38" s="107"/>
      <c r="G38" s="108"/>
      <c r="H38" s="108"/>
      <c r="I38" s="109"/>
      <c r="J38" s="106"/>
      <c r="K38" s="110"/>
      <c r="L38" s="110"/>
      <c r="M38" s="106"/>
      <c r="N38" s="106"/>
      <c r="O38" s="107"/>
      <c r="P38" s="83"/>
      <c r="Q38" s="83"/>
      <c r="R38" s="83"/>
      <c r="S38" s="83"/>
      <c r="T38" s="83"/>
      <c r="U38" s="83"/>
      <c r="V38" s="83"/>
      <c r="W38" s="83"/>
      <c r="X38" s="84"/>
      <c r="Y38" s="83"/>
    </row>
    <row r="39" spans="2:26" ht="25.5" customHeight="1" thickBot="1">
      <c r="B39" s="69" t="s">
        <v>56</v>
      </c>
      <c r="C39" s="111">
        <f aca="true" t="shared" si="7" ref="C39:X39">C40</f>
        <v>0</v>
      </c>
      <c r="D39" s="111">
        <f t="shared" si="7"/>
        <v>0</v>
      </c>
      <c r="E39" s="111">
        <f t="shared" si="7"/>
        <v>0</v>
      </c>
      <c r="F39" s="112">
        <f t="shared" si="7"/>
        <v>0</v>
      </c>
      <c r="G39" s="113">
        <f t="shared" si="7"/>
        <v>0</v>
      </c>
      <c r="H39" s="113">
        <f t="shared" si="7"/>
        <v>0</v>
      </c>
      <c r="I39" s="111">
        <f t="shared" si="7"/>
        <v>0</v>
      </c>
      <c r="J39" s="113">
        <f t="shared" si="7"/>
        <v>0</v>
      </c>
      <c r="K39" s="113">
        <f t="shared" si="7"/>
        <v>0</v>
      </c>
      <c r="L39" s="113">
        <f t="shared" si="7"/>
        <v>0</v>
      </c>
      <c r="M39" s="111">
        <f t="shared" si="7"/>
        <v>35000</v>
      </c>
      <c r="N39" s="111">
        <f t="shared" si="7"/>
        <v>76000</v>
      </c>
      <c r="O39" s="111">
        <f t="shared" si="7"/>
        <v>246000</v>
      </c>
      <c r="P39" s="111">
        <f t="shared" si="7"/>
        <v>49000</v>
      </c>
      <c r="Q39" s="111">
        <f t="shared" si="7"/>
        <v>0</v>
      </c>
      <c r="R39" s="111">
        <f t="shared" si="7"/>
        <v>0</v>
      </c>
      <c r="S39" s="111">
        <f t="shared" si="7"/>
        <v>0</v>
      </c>
      <c r="T39" s="111">
        <f t="shared" si="7"/>
        <v>0</v>
      </c>
      <c r="U39" s="111">
        <f t="shared" si="7"/>
        <v>0</v>
      </c>
      <c r="V39" s="111">
        <f t="shared" si="7"/>
        <v>0</v>
      </c>
      <c r="W39" s="111">
        <f t="shared" si="7"/>
        <v>0</v>
      </c>
      <c r="X39" s="112">
        <f t="shared" si="7"/>
        <v>0</v>
      </c>
      <c r="Y39" s="113"/>
      <c r="Z39" s="111">
        <f>Z40</f>
        <v>406000</v>
      </c>
    </row>
    <row r="40" spans="2:26" ht="63.75" customHeight="1" thickBot="1" thickTop="1">
      <c r="B40" s="24" t="s">
        <v>57</v>
      </c>
      <c r="C40" s="114"/>
      <c r="D40" s="115"/>
      <c r="E40" s="115"/>
      <c r="F40" s="116"/>
      <c r="G40" s="108"/>
      <c r="H40" s="108"/>
      <c r="I40" s="117"/>
      <c r="J40" s="118"/>
      <c r="K40" s="108"/>
      <c r="L40" s="108">
        <v>0</v>
      </c>
      <c r="M40" s="119">
        <v>35000</v>
      </c>
      <c r="N40" s="115">
        <v>76000</v>
      </c>
      <c r="O40" s="120">
        <v>246000</v>
      </c>
      <c r="P40" s="29">
        <v>49000</v>
      </c>
      <c r="Q40" s="29"/>
      <c r="R40" s="29"/>
      <c r="S40" s="29"/>
      <c r="T40" s="29"/>
      <c r="U40" s="29"/>
      <c r="V40" s="29"/>
      <c r="W40" s="29"/>
      <c r="X40" s="121"/>
      <c r="Y40" s="122"/>
      <c r="Z40" s="123">
        <f>SUM(L40:X40)</f>
        <v>406000</v>
      </c>
    </row>
    <row r="41" spans="2:25" ht="91.5" customHeight="1" hidden="1">
      <c r="B41" s="15" t="s">
        <v>58</v>
      </c>
      <c r="C41" s="124"/>
      <c r="D41" s="125"/>
      <c r="E41" s="125"/>
      <c r="F41" s="126"/>
      <c r="G41" s="203"/>
      <c r="H41" s="203"/>
      <c r="I41" s="127"/>
      <c r="J41" s="128"/>
      <c r="K41" s="128"/>
      <c r="L41" s="128"/>
      <c r="M41" s="125"/>
      <c r="N41" s="125"/>
      <c r="O41" s="126"/>
      <c r="P41" s="83"/>
      <c r="Q41" s="83"/>
      <c r="R41" s="83"/>
      <c r="S41" s="83"/>
      <c r="T41" s="83"/>
      <c r="U41" s="83"/>
      <c r="V41" s="83"/>
      <c r="W41" s="83"/>
      <c r="X41" s="84"/>
      <c r="Y41" s="83"/>
    </row>
    <row r="42" spans="2:25" ht="53.25" customHeight="1" thickBot="1" thickTop="1">
      <c r="B42" s="58" t="s">
        <v>59</v>
      </c>
      <c r="C42" s="59">
        <f aca="true" t="shared" si="8" ref="C42:Y42">C43+C44+C45+C46+C47+C48</f>
        <v>315375.95</v>
      </c>
      <c r="D42" s="59">
        <f t="shared" si="8"/>
        <v>376206.77999999997</v>
      </c>
      <c r="E42" s="59">
        <f t="shared" si="8"/>
        <v>985967.04</v>
      </c>
      <c r="F42" s="60">
        <f t="shared" si="8"/>
        <v>1960710.28</v>
      </c>
      <c r="G42" s="61">
        <f t="shared" si="8"/>
        <v>1770563.0299999998</v>
      </c>
      <c r="H42" s="61">
        <f t="shared" si="8"/>
        <v>1972105.7000000002</v>
      </c>
      <c r="I42" s="204">
        <f t="shared" si="8"/>
        <v>1992105.7000000002</v>
      </c>
      <c r="J42" s="59">
        <f t="shared" si="8"/>
        <v>2120290.1</v>
      </c>
      <c r="K42" s="76">
        <f t="shared" si="8"/>
        <v>2586673.5700000003</v>
      </c>
      <c r="L42" s="13">
        <f t="shared" si="8"/>
        <v>2594052.95</v>
      </c>
      <c r="M42" s="13">
        <f t="shared" si="8"/>
        <v>3079374.71</v>
      </c>
      <c r="N42" s="13">
        <f t="shared" si="8"/>
        <v>1015212.74</v>
      </c>
      <c r="O42" s="245">
        <f t="shared" si="8"/>
        <v>1504753</v>
      </c>
      <c r="P42" s="91">
        <f t="shared" si="8"/>
        <v>1838897.28</v>
      </c>
      <c r="Q42" s="91">
        <f t="shared" si="8"/>
        <v>1945810</v>
      </c>
      <c r="R42" s="91">
        <f t="shared" si="8"/>
        <v>2403732.62</v>
      </c>
      <c r="S42" s="91">
        <f t="shared" si="8"/>
        <v>2379301.38</v>
      </c>
      <c r="T42" s="91">
        <f t="shared" si="8"/>
        <v>2019598.7</v>
      </c>
      <c r="U42" s="91">
        <f t="shared" si="8"/>
        <v>1450000</v>
      </c>
      <c r="V42" s="91">
        <f t="shared" si="8"/>
        <v>906600</v>
      </c>
      <c r="W42" s="91">
        <f t="shared" si="8"/>
        <v>736100</v>
      </c>
      <c r="X42" s="92">
        <f t="shared" si="8"/>
        <v>652384.9</v>
      </c>
      <c r="Y42" s="92">
        <f t="shared" si="8"/>
        <v>20000</v>
      </c>
    </row>
    <row r="43" spans="2:27" ht="30.75" customHeight="1" thickTop="1">
      <c r="B43" s="30" t="s">
        <v>60</v>
      </c>
      <c r="C43" s="79">
        <f aca="true" t="shared" si="9" ref="C43:M43">C31-C33</f>
        <v>251956.25</v>
      </c>
      <c r="D43" s="79">
        <f t="shared" si="9"/>
        <v>296078.6</v>
      </c>
      <c r="E43" s="79">
        <f t="shared" si="9"/>
        <v>751159</v>
      </c>
      <c r="F43" s="80">
        <f t="shared" si="9"/>
        <v>1660710.28</v>
      </c>
      <c r="G43" s="13">
        <f t="shared" si="9"/>
        <v>1427126.42</v>
      </c>
      <c r="H43" s="13">
        <f t="shared" si="9"/>
        <v>1415405.7000000002</v>
      </c>
      <c r="I43" s="81">
        <f t="shared" si="9"/>
        <v>1415405.7000000002</v>
      </c>
      <c r="J43" s="79">
        <f t="shared" si="9"/>
        <v>1508583.26</v>
      </c>
      <c r="K43" s="79">
        <f t="shared" si="9"/>
        <v>1736673.57</v>
      </c>
      <c r="L43" s="80">
        <f t="shared" si="9"/>
        <v>1736673.57</v>
      </c>
      <c r="M43" s="80">
        <f t="shared" si="9"/>
        <v>2264374.71</v>
      </c>
      <c r="N43" s="61">
        <f aca="true" t="shared" si="10" ref="N43:Y43">N31-N33</f>
        <v>439212.74</v>
      </c>
      <c r="O43" s="13">
        <f t="shared" si="10"/>
        <v>808753</v>
      </c>
      <c r="P43" s="13">
        <f t="shared" si="10"/>
        <v>1389897.28</v>
      </c>
      <c r="Q43" s="13">
        <f t="shared" si="10"/>
        <v>1545810</v>
      </c>
      <c r="R43" s="13">
        <f t="shared" si="10"/>
        <v>2053732.62</v>
      </c>
      <c r="S43" s="13">
        <f t="shared" si="10"/>
        <v>2129301.38</v>
      </c>
      <c r="T43" s="13">
        <f t="shared" si="10"/>
        <v>1819598.7</v>
      </c>
      <c r="U43" s="13">
        <f t="shared" si="10"/>
        <v>1300000</v>
      </c>
      <c r="V43" s="13">
        <f t="shared" si="10"/>
        <v>786600</v>
      </c>
      <c r="W43" s="13">
        <f t="shared" si="10"/>
        <v>636100</v>
      </c>
      <c r="X43" s="73">
        <f t="shared" si="10"/>
        <v>602384.9</v>
      </c>
      <c r="Y43" s="73">
        <f t="shared" si="10"/>
        <v>0</v>
      </c>
      <c r="Z43" s="129">
        <f>SUM(M43:X43)</f>
        <v>15775765.33</v>
      </c>
      <c r="AA43" s="102">
        <f>Z43-M43</f>
        <v>13511390.620000001</v>
      </c>
    </row>
    <row r="44" spans="2:26" ht="24" customHeight="1">
      <c r="B44" s="38" t="s">
        <v>61</v>
      </c>
      <c r="C44" s="39">
        <v>63419.7</v>
      </c>
      <c r="D44" s="67">
        <v>80128.18</v>
      </c>
      <c r="E44" s="67">
        <v>234808.04</v>
      </c>
      <c r="F44" s="40">
        <v>300000</v>
      </c>
      <c r="G44" s="26">
        <v>343436.61</v>
      </c>
      <c r="H44" s="26">
        <v>556700</v>
      </c>
      <c r="I44" s="42">
        <v>576700</v>
      </c>
      <c r="J44" s="67">
        <v>611706.84</v>
      </c>
      <c r="K44" s="67">
        <v>850000</v>
      </c>
      <c r="L44" s="67">
        <v>857379.38</v>
      </c>
      <c r="M44" s="43">
        <v>780000</v>
      </c>
      <c r="N44" s="43">
        <v>500000</v>
      </c>
      <c r="O44" s="32">
        <v>450000</v>
      </c>
      <c r="P44" s="37">
        <v>400000</v>
      </c>
      <c r="Q44" s="37">
        <v>400000</v>
      </c>
      <c r="R44" s="37">
        <v>350000</v>
      </c>
      <c r="S44" s="37">
        <v>250000</v>
      </c>
      <c r="T44" s="37">
        <v>200000</v>
      </c>
      <c r="U44" s="37">
        <v>150000</v>
      </c>
      <c r="V44" s="37">
        <v>120000</v>
      </c>
      <c r="W44" s="37">
        <v>100000</v>
      </c>
      <c r="X44" s="45">
        <v>50000</v>
      </c>
      <c r="Y44" s="29">
        <v>20000</v>
      </c>
      <c r="Z44" s="129">
        <f>SUM(M44:X44)</f>
        <v>3750000</v>
      </c>
    </row>
    <row r="45" spans="2:25" ht="34.5" customHeight="1" hidden="1">
      <c r="B45" s="38" t="s">
        <v>62</v>
      </c>
      <c r="C45" s="130"/>
      <c r="D45" s="130"/>
      <c r="E45" s="130"/>
      <c r="F45" s="131"/>
      <c r="G45" s="13"/>
      <c r="H45" s="13"/>
      <c r="I45" s="132"/>
      <c r="J45" s="130"/>
      <c r="K45" s="130"/>
      <c r="L45" s="130"/>
      <c r="M45" s="130"/>
      <c r="N45" s="130"/>
      <c r="O45" s="131"/>
      <c r="P45" s="83"/>
      <c r="Q45" s="83"/>
      <c r="R45" s="83"/>
      <c r="S45" s="83"/>
      <c r="T45" s="83"/>
      <c r="U45" s="83"/>
      <c r="V45" s="83"/>
      <c r="W45" s="83"/>
      <c r="X45" s="84"/>
      <c r="Y45" s="83"/>
    </row>
    <row r="46" spans="2:25" ht="27.75" customHeight="1" hidden="1">
      <c r="B46" s="38" t="s">
        <v>63</v>
      </c>
      <c r="C46" s="39"/>
      <c r="D46" s="67"/>
      <c r="E46" s="67"/>
      <c r="F46" s="40"/>
      <c r="G46" s="26"/>
      <c r="H46" s="26"/>
      <c r="I46" s="42"/>
      <c r="J46" s="67"/>
      <c r="K46" s="67"/>
      <c r="L46" s="67"/>
      <c r="M46" s="67"/>
      <c r="N46" s="67"/>
      <c r="O46" s="40"/>
      <c r="P46" s="83"/>
      <c r="Q46" s="83"/>
      <c r="R46" s="83"/>
      <c r="S46" s="83"/>
      <c r="T46" s="83"/>
      <c r="U46" s="83"/>
      <c r="V46" s="83"/>
      <c r="W46" s="83"/>
      <c r="X46" s="84"/>
      <c r="Y46" s="83"/>
    </row>
    <row r="47" spans="2:25" ht="55.5" customHeight="1" thickBot="1">
      <c r="B47" s="38" t="s">
        <v>64</v>
      </c>
      <c r="C47" s="130"/>
      <c r="D47" s="130"/>
      <c r="E47" s="130"/>
      <c r="F47" s="131"/>
      <c r="G47" s="13">
        <f>G40-G41</f>
        <v>0</v>
      </c>
      <c r="H47" s="13"/>
      <c r="I47" s="132">
        <f>I40-I41</f>
        <v>0</v>
      </c>
      <c r="J47" s="130">
        <v>0</v>
      </c>
      <c r="K47" s="130"/>
      <c r="L47" s="130">
        <v>0</v>
      </c>
      <c r="M47" s="130">
        <f aca="true" t="shared" si="11" ref="M47:U47">M40-M41</f>
        <v>35000</v>
      </c>
      <c r="N47" s="130">
        <f t="shared" si="11"/>
        <v>76000</v>
      </c>
      <c r="O47" s="130">
        <f t="shared" si="11"/>
        <v>246000</v>
      </c>
      <c r="P47" s="130">
        <f t="shared" si="11"/>
        <v>49000</v>
      </c>
      <c r="Q47" s="130">
        <f t="shared" si="11"/>
        <v>0</v>
      </c>
      <c r="R47" s="130">
        <f t="shared" si="11"/>
        <v>0</v>
      </c>
      <c r="S47" s="130">
        <f t="shared" si="11"/>
        <v>0</v>
      </c>
      <c r="T47" s="130">
        <f t="shared" si="11"/>
        <v>0</v>
      </c>
      <c r="U47" s="130">
        <f t="shared" si="11"/>
        <v>0</v>
      </c>
      <c r="V47" s="133"/>
      <c r="W47" s="133"/>
      <c r="X47" s="84"/>
      <c r="Y47" s="83"/>
    </row>
    <row r="48" spans="2:25" ht="59.25" customHeight="1" hidden="1">
      <c r="B48" s="66" t="s">
        <v>65</v>
      </c>
      <c r="C48" s="134"/>
      <c r="D48" s="135"/>
      <c r="E48" s="135"/>
      <c r="F48" s="136"/>
      <c r="G48" s="13"/>
      <c r="H48" s="13"/>
      <c r="I48" s="137"/>
      <c r="J48" s="135"/>
      <c r="K48" s="135"/>
      <c r="L48" s="135"/>
      <c r="M48" s="135"/>
      <c r="N48" s="135"/>
      <c r="O48" s="136"/>
      <c r="P48" s="83"/>
      <c r="Q48" s="83"/>
      <c r="R48" s="83"/>
      <c r="S48" s="83"/>
      <c r="T48" s="83"/>
      <c r="U48" s="83"/>
      <c r="V48" s="83"/>
      <c r="W48" s="83"/>
      <c r="X48" s="84"/>
      <c r="Y48" s="83"/>
    </row>
    <row r="49" spans="2:26" ht="22.5" customHeight="1" thickBot="1">
      <c r="B49" s="69" t="s">
        <v>66</v>
      </c>
      <c r="C49" s="138">
        <f aca="true" t="shared" si="12" ref="C49:Y49">C42/C5</f>
        <v>0.014287845717481963</v>
      </c>
      <c r="D49" s="138">
        <f t="shared" si="12"/>
        <v>0.018574664740391798</v>
      </c>
      <c r="E49" s="138">
        <f t="shared" si="12"/>
        <v>0.04956922825255505</v>
      </c>
      <c r="F49" s="139">
        <f t="shared" si="12"/>
        <v>0.08150257273824034</v>
      </c>
      <c r="G49" s="140">
        <f t="shared" si="12"/>
        <v>0.08415445208001525</v>
      </c>
      <c r="H49" s="140">
        <f t="shared" si="12"/>
        <v>0.08557529047511324</v>
      </c>
      <c r="I49" s="141">
        <f t="shared" si="12"/>
        <v>0.08906597741126779</v>
      </c>
      <c r="J49" s="138">
        <f t="shared" si="12"/>
        <v>0.09476647213353222</v>
      </c>
      <c r="K49" s="138">
        <f t="shared" si="12"/>
        <v>0.09777530405742713</v>
      </c>
      <c r="L49" s="138">
        <f t="shared" si="12"/>
        <v>0.10437822000462225</v>
      </c>
      <c r="M49" s="138">
        <f t="shared" si="12"/>
        <v>0.11862720157323597</v>
      </c>
      <c r="N49" s="138">
        <f t="shared" si="12"/>
        <v>0.03640460959092713</v>
      </c>
      <c r="O49" s="139">
        <f t="shared" si="12"/>
        <v>0.05562714220815827</v>
      </c>
      <c r="P49" s="139">
        <f t="shared" si="12"/>
        <v>0.07340321251796264</v>
      </c>
      <c r="Q49" s="139">
        <f t="shared" si="12"/>
        <v>0.08232465906605274</v>
      </c>
      <c r="R49" s="139">
        <f t="shared" si="12"/>
        <v>0.10531153469204999</v>
      </c>
      <c r="S49" s="139">
        <f t="shared" si="12"/>
        <v>0.10481503876651982</v>
      </c>
      <c r="T49" s="139">
        <f t="shared" si="12"/>
        <v>0.08916550551876379</v>
      </c>
      <c r="U49" s="139">
        <f t="shared" si="12"/>
        <v>0.0659090909090909</v>
      </c>
      <c r="V49" s="139">
        <f t="shared" si="12"/>
        <v>0.040293333333333334</v>
      </c>
      <c r="W49" s="139">
        <f t="shared" si="12"/>
        <v>0.033225005642067255</v>
      </c>
      <c r="X49" s="139">
        <f t="shared" si="12"/>
        <v>0.02951933291605014</v>
      </c>
      <c r="Y49" s="139">
        <f t="shared" si="12"/>
        <v>0.0008888888888888889</v>
      </c>
      <c r="Z49" s="142">
        <f>Z42/Y5</f>
        <v>0</v>
      </c>
    </row>
    <row r="50" spans="2:26" ht="35.25" customHeight="1" thickBot="1" thickTop="1">
      <c r="B50" s="74" t="s">
        <v>67</v>
      </c>
      <c r="C50" s="75">
        <f aca="true" t="shared" si="13" ref="C50:Y50">C51+C53+C55+C56</f>
        <v>2648590.26</v>
      </c>
      <c r="D50" s="75">
        <f t="shared" si="13"/>
        <v>5918550.45</v>
      </c>
      <c r="E50" s="75">
        <f t="shared" si="13"/>
        <v>10005112.989999998</v>
      </c>
      <c r="F50" s="76">
        <f t="shared" si="13"/>
        <v>14177960.37</v>
      </c>
      <c r="G50" s="13">
        <f t="shared" si="13"/>
        <v>13760760.79</v>
      </c>
      <c r="H50" s="13">
        <f t="shared" si="13"/>
        <v>16363420.56</v>
      </c>
      <c r="I50" s="77">
        <f t="shared" si="13"/>
        <v>15684074.809999999</v>
      </c>
      <c r="J50" s="75">
        <f t="shared" si="13"/>
        <v>14943442.45</v>
      </c>
      <c r="K50" s="75">
        <f t="shared" si="13"/>
        <v>18580651.729999997</v>
      </c>
      <c r="L50" s="75">
        <f t="shared" si="13"/>
        <v>17497342.83</v>
      </c>
      <c r="M50" s="75">
        <f t="shared" si="13"/>
        <v>19540951.049999997</v>
      </c>
      <c r="N50" s="75">
        <f t="shared" si="13"/>
        <v>17300859.74</v>
      </c>
      <c r="O50" s="75">
        <f t="shared" si="13"/>
        <v>14934162.179999998</v>
      </c>
      <c r="P50" s="75">
        <f t="shared" si="13"/>
        <v>12903664.899999999</v>
      </c>
      <c r="Q50" s="75">
        <f t="shared" si="13"/>
        <v>10917854.899999999</v>
      </c>
      <c r="R50" s="75">
        <f t="shared" si="13"/>
        <v>8552884.899999999</v>
      </c>
      <c r="S50" s="75">
        <f t="shared" si="13"/>
        <v>6152884.8999999985</v>
      </c>
      <c r="T50" s="75">
        <f t="shared" si="13"/>
        <v>4102884.8999999985</v>
      </c>
      <c r="U50" s="75">
        <f t="shared" si="13"/>
        <v>2602884.8999999985</v>
      </c>
      <c r="V50" s="75">
        <f t="shared" si="13"/>
        <v>1646284.8999999985</v>
      </c>
      <c r="W50" s="75">
        <f t="shared" si="13"/>
        <v>802384.8999999985</v>
      </c>
      <c r="X50" s="75">
        <f t="shared" si="13"/>
        <v>-1.5133991837501526E-09</v>
      </c>
      <c r="Y50" s="75">
        <f t="shared" si="13"/>
        <v>-1.5133991837501526E-09</v>
      </c>
      <c r="Z50" s="77" t="e">
        <f>Z51+Z53+Z55+#REF!</f>
        <v>#REF!</v>
      </c>
    </row>
    <row r="51" spans="2:25" ht="30" customHeight="1" hidden="1">
      <c r="B51" s="30" t="s">
        <v>68</v>
      </c>
      <c r="C51" s="31"/>
      <c r="D51" s="143"/>
      <c r="E51" s="143"/>
      <c r="F51" s="144"/>
      <c r="G51" s="145"/>
      <c r="H51" s="145"/>
      <c r="I51" s="146"/>
      <c r="J51" s="143"/>
      <c r="K51" s="143"/>
      <c r="L51" s="143"/>
      <c r="M51" s="143"/>
      <c r="N51" s="143"/>
      <c r="O51" s="75"/>
      <c r="P51" s="83"/>
      <c r="Q51" s="83"/>
      <c r="R51" s="83"/>
      <c r="S51" s="83"/>
      <c r="T51" s="83"/>
      <c r="U51" s="83"/>
      <c r="V51" s="83"/>
      <c r="W51" s="83"/>
      <c r="X51" s="240"/>
      <c r="Y51" s="90"/>
    </row>
    <row r="52" spans="2:25" ht="53.25" customHeight="1" hidden="1">
      <c r="B52" s="38" t="s">
        <v>69</v>
      </c>
      <c r="C52" s="39"/>
      <c r="D52" s="147"/>
      <c r="E52" s="147"/>
      <c r="F52" s="148"/>
      <c r="G52" s="145"/>
      <c r="H52" s="145"/>
      <c r="I52" s="149"/>
      <c r="J52" s="147"/>
      <c r="K52" s="147"/>
      <c r="L52" s="147"/>
      <c r="M52" s="147"/>
      <c r="N52" s="147"/>
      <c r="O52" s="148"/>
      <c r="P52" s="83"/>
      <c r="Q52" s="83"/>
      <c r="R52" s="83"/>
      <c r="S52" s="83"/>
      <c r="T52" s="83"/>
      <c r="U52" s="83"/>
      <c r="V52" s="83"/>
      <c r="W52" s="83"/>
      <c r="X52" s="84"/>
      <c r="Y52" s="83"/>
    </row>
    <row r="53" spans="2:27" ht="18" customHeight="1" thickTop="1">
      <c r="B53" s="38" t="s">
        <v>70</v>
      </c>
      <c r="C53" s="39">
        <v>2648414.26</v>
      </c>
      <c r="D53" s="147">
        <v>5918430.45</v>
      </c>
      <c r="E53" s="147">
        <v>9917081.79</v>
      </c>
      <c r="F53" s="148">
        <v>14177960.37</v>
      </c>
      <c r="G53" s="13">
        <f>E53+G20-G31</f>
        <v>13760760.79</v>
      </c>
      <c r="H53" s="145">
        <v>16363420.56</v>
      </c>
      <c r="I53" s="149">
        <f>G53+I20-I31</f>
        <v>15684074.809999999</v>
      </c>
      <c r="J53" s="130">
        <f>G53+J20-J31</f>
        <v>14943442.45</v>
      </c>
      <c r="K53" s="130">
        <f>J53+K20-K31</f>
        <v>18580651.729999997</v>
      </c>
      <c r="L53" s="150">
        <f>J53+L20-L31</f>
        <v>17497342.83</v>
      </c>
      <c r="M53" s="150">
        <f aca="true" t="shared" si="14" ref="M53:Y53">L53+M20-M31</f>
        <v>19540951.049999997</v>
      </c>
      <c r="N53" s="150">
        <f t="shared" si="14"/>
        <v>17300859.74</v>
      </c>
      <c r="O53" s="150">
        <f t="shared" si="14"/>
        <v>14934162.179999998</v>
      </c>
      <c r="P53" s="150">
        <f t="shared" si="14"/>
        <v>12903664.899999999</v>
      </c>
      <c r="Q53" s="150">
        <f t="shared" si="14"/>
        <v>10917854.899999999</v>
      </c>
      <c r="R53" s="150">
        <f t="shared" si="14"/>
        <v>8552884.899999999</v>
      </c>
      <c r="S53" s="150">
        <f t="shared" si="14"/>
        <v>6152884.8999999985</v>
      </c>
      <c r="T53" s="150">
        <f t="shared" si="14"/>
        <v>4102884.8999999985</v>
      </c>
      <c r="U53" s="150">
        <f t="shared" si="14"/>
        <v>2602884.8999999985</v>
      </c>
      <c r="V53" s="150">
        <f t="shared" si="14"/>
        <v>1646284.8999999985</v>
      </c>
      <c r="W53" s="150">
        <f t="shared" si="14"/>
        <v>802384.8999999985</v>
      </c>
      <c r="X53" s="150">
        <f t="shared" si="14"/>
        <v>-1.5133991837501526E-09</v>
      </c>
      <c r="Y53" s="150">
        <f t="shared" si="14"/>
        <v>-1.5133991837501526E-09</v>
      </c>
      <c r="Z53" s="150"/>
      <c r="AA53" s="132"/>
    </row>
    <row r="54" spans="2:27" ht="45.75" customHeight="1">
      <c r="B54" s="38" t="s">
        <v>71</v>
      </c>
      <c r="C54" s="39">
        <v>1722790.98</v>
      </c>
      <c r="D54" s="147">
        <v>1288998.75</v>
      </c>
      <c r="E54" s="147">
        <v>1308998.35</v>
      </c>
      <c r="F54" s="148">
        <v>1563748.4</v>
      </c>
      <c r="G54" s="145">
        <v>2361668.35</v>
      </c>
      <c r="H54" s="145">
        <v>3488250.74</v>
      </c>
      <c r="I54" s="149">
        <f>G54+I21+I23-I33-I35</f>
        <v>2611507.83</v>
      </c>
      <c r="J54" s="147">
        <f>G54+J21+J23-J33-J35</f>
        <v>2182996.93</v>
      </c>
      <c r="K54" s="147">
        <v>4149838.88</v>
      </c>
      <c r="L54" s="147">
        <v>3750573.95</v>
      </c>
      <c r="M54" s="147">
        <f aca="true" t="shared" si="15" ref="M54:Y54">L54+M21+M23-M33-M35</f>
        <v>6029560.430000001</v>
      </c>
      <c r="N54" s="147">
        <f t="shared" si="15"/>
        <v>4228681.86</v>
      </c>
      <c r="O54" s="147">
        <f t="shared" si="15"/>
        <v>2670737.3000000003</v>
      </c>
      <c r="P54" s="147">
        <f t="shared" si="15"/>
        <v>2030137.3000000003</v>
      </c>
      <c r="Q54" s="147">
        <f t="shared" si="15"/>
        <v>1590137.3000000003</v>
      </c>
      <c r="R54" s="147">
        <f t="shared" si="15"/>
        <v>1278899.9200000004</v>
      </c>
      <c r="S54" s="147">
        <f t="shared" si="15"/>
        <v>1008201.3000000004</v>
      </c>
      <c r="T54" s="147">
        <f t="shared" si="15"/>
        <v>777800.0000000005</v>
      </c>
      <c r="U54" s="147">
        <f t="shared" si="15"/>
        <v>577800.0000000005</v>
      </c>
      <c r="V54" s="147">
        <f t="shared" si="15"/>
        <v>407800.00000000047</v>
      </c>
      <c r="W54" s="147">
        <f t="shared" si="15"/>
        <v>200000.00000000047</v>
      </c>
      <c r="X54" s="147">
        <f t="shared" si="15"/>
        <v>4.656612873077393E-10</v>
      </c>
      <c r="Y54" s="147">
        <f t="shared" si="15"/>
        <v>4.656612873077393E-10</v>
      </c>
      <c r="Z54" s="146"/>
      <c r="AA54" s="123"/>
    </row>
    <row r="55" spans="2:25" ht="18.75" customHeight="1" hidden="1">
      <c r="B55" s="38" t="s">
        <v>72</v>
      </c>
      <c r="C55" s="39"/>
      <c r="D55" s="151"/>
      <c r="E55" s="151"/>
      <c r="F55" s="152"/>
      <c r="G55" s="108"/>
      <c r="H55" s="108"/>
      <c r="I55" s="153"/>
      <c r="J55" s="125"/>
      <c r="K55" s="125"/>
      <c r="L55" s="125"/>
      <c r="M55" s="125"/>
      <c r="N55" s="125"/>
      <c r="O55" s="126"/>
      <c r="P55" s="87"/>
      <c r="Q55" s="87"/>
      <c r="R55" s="87"/>
      <c r="S55" s="87"/>
      <c r="T55" s="87"/>
      <c r="U55" s="87"/>
      <c r="V55" s="87"/>
      <c r="W55" s="87"/>
      <c r="X55" s="211"/>
      <c r="Y55" s="87"/>
    </row>
    <row r="56" spans="2:26" ht="13.5" customHeight="1" thickBot="1">
      <c r="B56" s="66" t="s">
        <v>73</v>
      </c>
      <c r="C56" s="47">
        <v>176</v>
      </c>
      <c r="D56" s="154">
        <v>120</v>
      </c>
      <c r="E56" s="154">
        <v>88031.2</v>
      </c>
      <c r="F56" s="155">
        <v>0</v>
      </c>
      <c r="G56" s="108"/>
      <c r="H56" s="108"/>
      <c r="I56" s="237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</row>
    <row r="57" spans="2:25" ht="15" customHeight="1" thickBot="1">
      <c r="B57" s="229"/>
      <c r="C57" s="230"/>
      <c r="D57" s="231"/>
      <c r="E57" s="231"/>
      <c r="F57" s="232"/>
      <c r="G57" s="108"/>
      <c r="H57" s="108"/>
      <c r="I57" s="233"/>
      <c r="J57" s="234">
        <v>2011</v>
      </c>
      <c r="K57" s="209" t="s">
        <v>109</v>
      </c>
      <c r="L57" s="210">
        <v>2012</v>
      </c>
      <c r="M57" s="235">
        <v>2013</v>
      </c>
      <c r="N57" s="235">
        <v>2014</v>
      </c>
      <c r="O57" s="236">
        <v>2015</v>
      </c>
      <c r="P57" s="238">
        <v>2016</v>
      </c>
      <c r="Q57" s="238">
        <v>2017</v>
      </c>
      <c r="R57" s="238">
        <v>2018</v>
      </c>
      <c r="S57" s="238">
        <v>2019</v>
      </c>
      <c r="T57" s="238">
        <v>2020</v>
      </c>
      <c r="U57" s="238">
        <v>2021</v>
      </c>
      <c r="V57" s="238">
        <v>2022</v>
      </c>
      <c r="W57" s="238">
        <v>2023</v>
      </c>
      <c r="X57" s="239">
        <v>2024</v>
      </c>
      <c r="Y57" s="238">
        <v>2025</v>
      </c>
    </row>
    <row r="58" spans="2:25" ht="27.75" customHeight="1" thickBot="1">
      <c r="B58" s="104" t="s">
        <v>74</v>
      </c>
      <c r="C58" s="156">
        <f aca="true" t="shared" si="16" ref="C58:Y58">(C50-C52-C54)/C5</f>
        <v>0.04194256815713399</v>
      </c>
      <c r="D58" s="156">
        <f t="shared" si="16"/>
        <v>0.22857740821632963</v>
      </c>
      <c r="E58" s="156">
        <f t="shared" si="16"/>
        <v>0.4371948290487941</v>
      </c>
      <c r="F58" s="157">
        <f t="shared" si="16"/>
        <v>0.5243460694358715</v>
      </c>
      <c r="G58" s="140">
        <f t="shared" si="16"/>
        <v>0.5417962321836371</v>
      </c>
      <c r="H58" s="140">
        <f t="shared" si="16"/>
        <v>0.5586903365589945</v>
      </c>
      <c r="I58" s="158">
        <f t="shared" si="16"/>
        <v>0.5844674584024155</v>
      </c>
      <c r="J58" s="156">
        <f t="shared" si="16"/>
        <v>0.570328751137656</v>
      </c>
      <c r="K58" s="156">
        <f t="shared" si="16"/>
        <v>0.545479387337064</v>
      </c>
      <c r="L58" s="156">
        <f t="shared" si="16"/>
        <v>0.553135689273164</v>
      </c>
      <c r="M58" s="156">
        <f t="shared" si="16"/>
        <v>0.5205012736541794</v>
      </c>
      <c r="N58" s="156">
        <f t="shared" si="16"/>
        <v>0.4687564620441559</v>
      </c>
      <c r="O58" s="156">
        <f t="shared" si="16"/>
        <v>0.4533496725102566</v>
      </c>
      <c r="P58" s="156">
        <f t="shared" si="16"/>
        <v>0.43403830432699975</v>
      </c>
      <c r="Q58" s="156">
        <f t="shared" si="16"/>
        <v>0.39464344991773065</v>
      </c>
      <c r="R58" s="156">
        <f t="shared" si="16"/>
        <v>0.3186854125109474</v>
      </c>
      <c r="S58" s="156">
        <f t="shared" si="16"/>
        <v>0.22663804405286334</v>
      </c>
      <c r="T58" s="156">
        <f t="shared" si="16"/>
        <v>0.14680286534216327</v>
      </c>
      <c r="U58" s="156">
        <f t="shared" si="16"/>
        <v>0.09204931363636355</v>
      </c>
      <c r="V58" s="156">
        <f t="shared" si="16"/>
        <v>0.05504377333333325</v>
      </c>
      <c r="W58" s="156">
        <f t="shared" si="16"/>
        <v>0.027189568946061747</v>
      </c>
      <c r="X58" s="157">
        <f t="shared" si="16"/>
        <v>-8.954919849639825E-17</v>
      </c>
      <c r="Y58" s="157">
        <f t="shared" si="16"/>
        <v>-8.795824315812852E-17</v>
      </c>
    </row>
    <row r="59" spans="2:25" ht="27.75" customHeight="1" thickBot="1">
      <c r="B59" s="104" t="s">
        <v>75</v>
      </c>
      <c r="C59" s="158">
        <f aca="true" t="shared" si="17" ref="C59:Y59">C50/C5*100%</f>
        <v>0.11999218394333948</v>
      </c>
      <c r="D59" s="158">
        <f t="shared" si="17"/>
        <v>0.2922198540862156</v>
      </c>
      <c r="E59" s="158">
        <f t="shared" si="17"/>
        <v>0.5030043696936496</v>
      </c>
      <c r="F59" s="158">
        <f t="shared" si="17"/>
        <v>0.5893477777531793</v>
      </c>
      <c r="G59" s="158">
        <f t="shared" si="17"/>
        <v>0.6540457836661188</v>
      </c>
      <c r="H59" s="158">
        <f t="shared" si="17"/>
        <v>0.7100554841398411</v>
      </c>
      <c r="I59" s="158">
        <f t="shared" si="17"/>
        <v>0.7012265728390285</v>
      </c>
      <c r="J59" s="158">
        <f t="shared" si="17"/>
        <v>0.6678979081763232</v>
      </c>
      <c r="K59" s="158">
        <f t="shared" si="17"/>
        <v>0.7023417618504947</v>
      </c>
      <c r="L59" s="158">
        <f t="shared" si="17"/>
        <v>0.704049429448246</v>
      </c>
      <c r="M59" s="158">
        <f t="shared" si="17"/>
        <v>0.75277891047598</v>
      </c>
      <c r="N59" s="158">
        <f t="shared" si="17"/>
        <v>0.6203931645125819</v>
      </c>
      <c r="O59" s="158">
        <f t="shared" si="17"/>
        <v>0.5520804832065853</v>
      </c>
      <c r="P59" s="158">
        <f t="shared" si="17"/>
        <v>0.5150752395018361</v>
      </c>
      <c r="Q59" s="158">
        <f t="shared" si="17"/>
        <v>0.4619200653584539</v>
      </c>
      <c r="R59" s="158">
        <f t="shared" si="17"/>
        <v>0.37471615077697795</v>
      </c>
      <c r="S59" s="158">
        <f t="shared" si="17"/>
        <v>0.2710521982378854</v>
      </c>
      <c r="T59" s="158">
        <f t="shared" si="17"/>
        <v>0.1811428211920529</v>
      </c>
      <c r="U59" s="158">
        <f t="shared" si="17"/>
        <v>0.11831294999999993</v>
      </c>
      <c r="V59" s="158">
        <f t="shared" si="17"/>
        <v>0.07316821777777771</v>
      </c>
      <c r="W59" s="158">
        <f t="shared" si="17"/>
        <v>0.036216876551568425</v>
      </c>
      <c r="X59" s="159">
        <f t="shared" si="17"/>
        <v>-6.84787988501869E-17</v>
      </c>
      <c r="Y59" s="159">
        <f t="shared" si="17"/>
        <v>-6.726218594445123E-17</v>
      </c>
    </row>
    <row r="60" spans="2:25" ht="45" customHeight="1" thickBot="1">
      <c r="B60" s="69" t="s">
        <v>76</v>
      </c>
      <c r="C60" s="160" t="s">
        <v>77</v>
      </c>
      <c r="D60" s="161" t="s">
        <v>77</v>
      </c>
      <c r="E60" s="161" t="s">
        <v>77</v>
      </c>
      <c r="F60" s="162">
        <v>8.16</v>
      </c>
      <c r="G60" s="163">
        <f>(((C6+C11-C15)/C5)+((D6+D11-D15)/D5)+((E6+E11-E15)/E5))*0.33*100</f>
        <v>8.162545157023784</v>
      </c>
      <c r="H60" s="163">
        <f>(((E6+E11-E15)/E5)+((F6+F11-F15)/F5)+((G6+G11-G15)/G5))*0.33*100</f>
        <v>2.3827265911038684</v>
      </c>
      <c r="I60" s="164">
        <f>H60</f>
        <v>2.3827265911038684</v>
      </c>
      <c r="J60" s="225">
        <f>(((E6+E11-E15)/E5)+((F6+F11-F15)/F5)+((G6+G11-G15)/G5))*0.33*100</f>
        <v>2.3827265911038684</v>
      </c>
      <c r="K60" s="225">
        <f>(((F6+F11-F15)/F5)+((G6+G11-G15)/G5)+((H6+H11-H15)/H5))*0.33*100</f>
        <v>1.2039626460793684</v>
      </c>
      <c r="L60" s="225">
        <f>(((J6+J11-J15)/J5)+((G6+G11-G15)/G5)+((H6+H11-H15)/H5))*0.33*100</f>
        <v>1.6890265158054814</v>
      </c>
      <c r="M60" s="225">
        <f>((L6+L11-L15)/L5+(J6+J11-J15)/J5+(G6+G11-G15)/G5)*0.33*100</f>
        <v>3.390566097033582</v>
      </c>
      <c r="N60" s="225">
        <f>((L6+L11-L15)/L5+(M6+M11-M15)/M5+(J6+J11-J15)/J5)*0.33*100</f>
        <v>4.840200217734786</v>
      </c>
      <c r="O60" s="225">
        <f>((L6+L11-L15)/L5+(M6+M11-M15)/M5+(N6+N11-N15)/N5)*0.33*100</f>
        <v>6.723957573339802</v>
      </c>
      <c r="P60" s="225">
        <f aca="true" t="shared" si="18" ref="P60:Y60">(((M6+M11-M15)/M5)+((N6+N11-N15)/N5)+((O6+O11-O15)/O5))*0.33*100</f>
        <v>8.099725962438413</v>
      </c>
      <c r="Q60" s="225">
        <f t="shared" si="18"/>
        <v>10.488289182348872</v>
      </c>
      <c r="R60" s="225">
        <f t="shared" si="18"/>
        <v>10.869568468903148</v>
      </c>
      <c r="S60" s="225">
        <f t="shared" si="18"/>
        <v>11.494268833039838</v>
      </c>
      <c r="T60" s="225">
        <f t="shared" si="18"/>
        <v>12.707547306417855</v>
      </c>
      <c r="U60" s="225">
        <f t="shared" si="18"/>
        <v>13.423211141805178</v>
      </c>
      <c r="V60" s="225">
        <f t="shared" si="18"/>
        <v>12.474995623887738</v>
      </c>
      <c r="W60" s="225">
        <f t="shared" si="18"/>
        <v>10.766026578366446</v>
      </c>
      <c r="X60" s="226">
        <f t="shared" si="18"/>
        <v>9.437938858045587</v>
      </c>
      <c r="Y60" s="226">
        <f t="shared" si="18"/>
        <v>8.67891105667897</v>
      </c>
    </row>
    <row r="61" spans="2:26" ht="26.25" customHeight="1">
      <c r="B61" s="213" t="s">
        <v>111</v>
      </c>
      <c r="C61" s="214" t="s">
        <v>77</v>
      </c>
      <c r="D61" s="215" t="s">
        <v>77</v>
      </c>
      <c r="E61" s="215" t="s">
        <v>77</v>
      </c>
      <c r="F61" s="216">
        <f aca="true" t="shared" si="19" ref="F61:Y61">F42/F5*100</f>
        <v>8.150257273824034</v>
      </c>
      <c r="G61" s="217">
        <f t="shared" si="19"/>
        <v>8.415445208001525</v>
      </c>
      <c r="H61" s="217">
        <f t="shared" si="19"/>
        <v>8.557529047511323</v>
      </c>
      <c r="I61" s="218">
        <f t="shared" si="19"/>
        <v>8.90659774112678</v>
      </c>
      <c r="J61" s="219">
        <f t="shared" si="19"/>
        <v>9.476647213353221</v>
      </c>
      <c r="K61" s="219">
        <f t="shared" si="19"/>
        <v>9.777530405742713</v>
      </c>
      <c r="L61" s="219">
        <f t="shared" si="19"/>
        <v>10.437822000462225</v>
      </c>
      <c r="M61" s="219">
        <f t="shared" si="19"/>
        <v>11.862720157323597</v>
      </c>
      <c r="N61" s="219">
        <f t="shared" si="19"/>
        <v>3.6404609590927133</v>
      </c>
      <c r="O61" s="219">
        <f t="shared" si="19"/>
        <v>5.562714220815828</v>
      </c>
      <c r="P61" s="219">
        <f t="shared" si="19"/>
        <v>7.340321251796264</v>
      </c>
      <c r="Q61" s="219">
        <f t="shared" si="19"/>
        <v>8.232465906605274</v>
      </c>
      <c r="R61" s="219">
        <f t="shared" si="19"/>
        <v>10.531153469204998</v>
      </c>
      <c r="S61" s="219">
        <f t="shared" si="19"/>
        <v>10.481503876651981</v>
      </c>
      <c r="T61" s="219">
        <f t="shared" si="19"/>
        <v>8.916550551876378</v>
      </c>
      <c r="U61" s="219">
        <f t="shared" si="19"/>
        <v>6.59090909090909</v>
      </c>
      <c r="V61" s="219">
        <f t="shared" si="19"/>
        <v>4.029333333333334</v>
      </c>
      <c r="W61" s="219">
        <f t="shared" si="19"/>
        <v>3.3225005642067256</v>
      </c>
      <c r="X61" s="216">
        <f t="shared" si="19"/>
        <v>2.9519332916050143</v>
      </c>
      <c r="Y61" s="216">
        <f t="shared" si="19"/>
        <v>0.08888888888888889</v>
      </c>
      <c r="Z61" s="220"/>
    </row>
    <row r="62" spans="2:26" ht="48.75" customHeight="1">
      <c r="B62" s="165" t="s">
        <v>78</v>
      </c>
      <c r="C62" s="166"/>
      <c r="D62" s="167"/>
      <c r="E62" s="167"/>
      <c r="F62" s="163"/>
      <c r="G62" s="163"/>
      <c r="H62" s="163"/>
      <c r="I62" s="163"/>
      <c r="J62" s="163"/>
      <c r="K62" s="163"/>
      <c r="L62" s="163"/>
      <c r="M62" s="163"/>
      <c r="N62" s="163" t="s">
        <v>79</v>
      </c>
      <c r="O62" s="163" t="s">
        <v>79</v>
      </c>
      <c r="P62" s="163" t="s">
        <v>79</v>
      </c>
      <c r="Q62" s="163" t="s">
        <v>79</v>
      </c>
      <c r="R62" s="163" t="s">
        <v>79</v>
      </c>
      <c r="S62" s="163" t="s">
        <v>79</v>
      </c>
      <c r="T62" s="163" t="s">
        <v>79</v>
      </c>
      <c r="U62" s="163" t="s">
        <v>79</v>
      </c>
      <c r="V62" s="163" t="s">
        <v>79</v>
      </c>
      <c r="W62" s="163" t="s">
        <v>79</v>
      </c>
      <c r="X62" s="168" t="s">
        <v>79</v>
      </c>
      <c r="Y62" s="163" t="s">
        <v>79</v>
      </c>
      <c r="Z62" s="169"/>
    </row>
    <row r="63" spans="2:25" ht="21.75" customHeight="1">
      <c r="B63" s="170" t="s">
        <v>80</v>
      </c>
      <c r="C63" s="171">
        <v>-2010164.25</v>
      </c>
      <c r="D63" s="172">
        <v>-5652541.8</v>
      </c>
      <c r="E63" s="172">
        <f>D63+E17</f>
        <v>-9903204.86</v>
      </c>
      <c r="F63" s="173">
        <f>E63+F17</f>
        <v>-14164083.440000001</v>
      </c>
      <c r="G63" s="172">
        <f>E63+G17</f>
        <v>-13632704.23</v>
      </c>
      <c r="H63" s="172">
        <f>F63+H17</f>
        <v>-16766743.21</v>
      </c>
      <c r="I63" s="174">
        <f>G63+I17</f>
        <v>-15556018.25</v>
      </c>
      <c r="J63" s="172">
        <f>G63+J17</f>
        <v>-14706621.120000001</v>
      </c>
      <c r="K63" s="172">
        <f>J63+K17</f>
        <v>-18580651.73</v>
      </c>
      <c r="L63" s="172">
        <f>J63+L17</f>
        <v>-16965700.490000002</v>
      </c>
      <c r="M63" s="172">
        <f aca="true" t="shared" si="20" ref="M63:Y63">L63+M17</f>
        <v>-19540951.050000004</v>
      </c>
      <c r="N63" s="172">
        <f t="shared" si="20"/>
        <v>-17300859.740000002</v>
      </c>
      <c r="O63" s="173">
        <f t="shared" si="20"/>
        <v>-14934162.180000003</v>
      </c>
      <c r="P63" s="173">
        <f t="shared" si="20"/>
        <v>-12903664.900000002</v>
      </c>
      <c r="Q63" s="173">
        <f t="shared" si="20"/>
        <v>-10917854.900000002</v>
      </c>
      <c r="R63" s="173">
        <f t="shared" si="20"/>
        <v>-8552884.900000002</v>
      </c>
      <c r="S63" s="173">
        <f t="shared" si="20"/>
        <v>-6152884.900000002</v>
      </c>
      <c r="T63" s="173">
        <f t="shared" si="20"/>
        <v>-4102884.9000000022</v>
      </c>
      <c r="U63" s="173">
        <f t="shared" si="20"/>
        <v>-2602884.9000000022</v>
      </c>
      <c r="V63" s="173">
        <f t="shared" si="20"/>
        <v>-1646284.9000000022</v>
      </c>
      <c r="W63" s="173">
        <f t="shared" si="20"/>
        <v>-802384.9000000022</v>
      </c>
      <c r="X63" s="173">
        <f t="shared" si="20"/>
        <v>-3.725290298461914E-09</v>
      </c>
      <c r="Y63" s="173">
        <f t="shared" si="20"/>
        <v>-3.725290298461914E-09</v>
      </c>
    </row>
    <row r="64" spans="2:25" ht="12.75">
      <c r="B64" s="175" t="s">
        <v>81</v>
      </c>
      <c r="C64" s="102">
        <f>C53+C63</f>
        <v>638250.0099999998</v>
      </c>
      <c r="D64" s="102">
        <f>D53+D63</f>
        <v>265888.6500000004</v>
      </c>
      <c r="E64" s="102">
        <f>E53+E63</f>
        <v>13876.929999999702</v>
      </c>
      <c r="F64" s="102">
        <f>F53+F63</f>
        <v>13876.92999999784</v>
      </c>
      <c r="G64" s="26">
        <f>G63+G53</f>
        <v>128056.55999999866</v>
      </c>
      <c r="H64" s="26">
        <v>128056.56</v>
      </c>
      <c r="I64" s="26">
        <f aca="true" t="shared" si="21" ref="I64:Y64">I63+I53</f>
        <v>128056.55999999866</v>
      </c>
      <c r="J64" s="26">
        <f t="shared" si="21"/>
        <v>236821.3299999982</v>
      </c>
      <c r="K64" s="26">
        <f t="shared" si="21"/>
        <v>0</v>
      </c>
      <c r="L64" s="26">
        <f t="shared" si="21"/>
        <v>531642.3399999961</v>
      </c>
      <c r="M64" s="67">
        <f t="shared" si="21"/>
        <v>0</v>
      </c>
      <c r="N64" s="67">
        <f t="shared" si="21"/>
        <v>0</v>
      </c>
      <c r="O64" s="67">
        <f t="shared" si="21"/>
        <v>0</v>
      </c>
      <c r="P64" s="67">
        <f t="shared" si="21"/>
        <v>0</v>
      </c>
      <c r="Q64" s="67">
        <f t="shared" si="21"/>
        <v>0</v>
      </c>
      <c r="R64" s="67">
        <f t="shared" si="21"/>
        <v>0</v>
      </c>
      <c r="S64" s="67">
        <f t="shared" si="21"/>
        <v>0</v>
      </c>
      <c r="T64" s="67">
        <f t="shared" si="21"/>
        <v>-3.725290298461914E-09</v>
      </c>
      <c r="U64" s="67">
        <f t="shared" si="21"/>
        <v>-3.725290298461914E-09</v>
      </c>
      <c r="V64" s="67">
        <f t="shared" si="21"/>
        <v>-3.725290298461914E-09</v>
      </c>
      <c r="W64" s="67">
        <f t="shared" si="21"/>
        <v>-3.725290298461914E-09</v>
      </c>
      <c r="X64" s="40">
        <f t="shared" si="21"/>
        <v>-5.238689482212067E-09</v>
      </c>
      <c r="Y64" s="40">
        <f t="shared" si="21"/>
        <v>-5.238689482212067E-09</v>
      </c>
    </row>
    <row r="65" spans="2:25" ht="12.75">
      <c r="B65" s="175" t="s">
        <v>82</v>
      </c>
      <c r="C65" s="102">
        <f aca="true" t="shared" si="22" ref="C65:Y65">C5+C19</f>
        <v>27055017.43</v>
      </c>
      <c r="D65" s="102">
        <f t="shared" si="22"/>
        <v>25598690.95</v>
      </c>
      <c r="E65" s="102">
        <f t="shared" si="22"/>
        <v>24906406.28</v>
      </c>
      <c r="F65" s="102">
        <f t="shared" si="22"/>
        <v>30223874.29</v>
      </c>
      <c r="G65" s="102">
        <f t="shared" si="22"/>
        <v>26569378.11</v>
      </c>
      <c r="H65" s="102">
        <f t="shared" si="22"/>
        <v>27988321.2</v>
      </c>
      <c r="I65" s="102">
        <f t="shared" si="22"/>
        <v>26630334.45</v>
      </c>
      <c r="J65" s="102">
        <f t="shared" si="22"/>
        <v>25568759.06</v>
      </c>
      <c r="K65" s="102">
        <f t="shared" si="22"/>
        <v>32310989.54</v>
      </c>
      <c r="L65" s="102">
        <f t="shared" si="22"/>
        <v>29510830.489999995</v>
      </c>
      <c r="M65" s="102">
        <f t="shared" si="22"/>
        <v>31689350.349999998</v>
      </c>
      <c r="N65" s="102">
        <f t="shared" si="22"/>
        <v>27886928.37</v>
      </c>
      <c r="O65" s="102">
        <f t="shared" si="22"/>
        <v>27050697.56</v>
      </c>
      <c r="P65" s="102">
        <f t="shared" si="22"/>
        <v>25052000</v>
      </c>
      <c r="Q65" s="102">
        <f t="shared" si="22"/>
        <v>23635810</v>
      </c>
      <c r="R65" s="102">
        <f t="shared" si="22"/>
        <v>22824970</v>
      </c>
      <c r="S65" s="102">
        <f t="shared" si="22"/>
        <v>22700000</v>
      </c>
      <c r="T65" s="102">
        <f t="shared" si="22"/>
        <v>22650000</v>
      </c>
      <c r="U65" s="102">
        <f t="shared" si="22"/>
        <v>21999999.999999996</v>
      </c>
      <c r="V65" s="102">
        <f t="shared" si="22"/>
        <v>22499999.999999996</v>
      </c>
      <c r="W65" s="102">
        <f t="shared" si="22"/>
        <v>22154999.999999996</v>
      </c>
      <c r="X65" s="102">
        <f t="shared" si="22"/>
        <v>22100258.899999995</v>
      </c>
      <c r="Y65" s="102">
        <f t="shared" si="22"/>
        <v>22499999.999999996</v>
      </c>
    </row>
    <row r="66" spans="2:25" ht="12.75">
      <c r="B66" s="175" t="s">
        <v>83</v>
      </c>
      <c r="C66" s="102">
        <f aca="true" t="shared" si="23" ref="C66:Y66">C14+C30</f>
        <v>26416767.42</v>
      </c>
      <c r="D66" s="102">
        <f t="shared" si="23"/>
        <v>24694552.290000003</v>
      </c>
      <c r="E66" s="102">
        <f t="shared" si="23"/>
        <v>24892529.96</v>
      </c>
      <c r="F66" s="102">
        <f t="shared" si="23"/>
        <v>30223874.290000003</v>
      </c>
      <c r="G66" s="102">
        <f t="shared" si="23"/>
        <v>26441321.549999997</v>
      </c>
      <c r="H66" s="102">
        <f t="shared" si="23"/>
        <v>27988321.2</v>
      </c>
      <c r="I66" s="102">
        <f t="shared" si="23"/>
        <v>26630334.45</v>
      </c>
      <c r="J66" s="102">
        <f t="shared" si="23"/>
        <v>25676937.73</v>
      </c>
      <c r="K66" s="102">
        <f t="shared" si="23"/>
        <v>32310989.54</v>
      </c>
      <c r="L66" s="102">
        <f t="shared" si="23"/>
        <v>29093188.15</v>
      </c>
      <c r="M66" s="102">
        <f t="shared" si="23"/>
        <v>31689350.35</v>
      </c>
      <c r="N66" s="102">
        <f t="shared" si="23"/>
        <v>27886928.369999997</v>
      </c>
      <c r="O66" s="102">
        <f t="shared" si="23"/>
        <v>27050697.56</v>
      </c>
      <c r="P66" s="102">
        <f t="shared" si="23"/>
        <v>25052000</v>
      </c>
      <c r="Q66" s="102">
        <f t="shared" si="23"/>
        <v>23635810</v>
      </c>
      <c r="R66" s="102">
        <f t="shared" si="23"/>
        <v>22824970</v>
      </c>
      <c r="S66" s="102">
        <f t="shared" si="23"/>
        <v>22700000</v>
      </c>
      <c r="T66" s="102">
        <f t="shared" si="23"/>
        <v>22650000</v>
      </c>
      <c r="U66" s="102">
        <f t="shared" si="23"/>
        <v>22000000</v>
      </c>
      <c r="V66" s="102">
        <f t="shared" si="23"/>
        <v>22500000</v>
      </c>
      <c r="W66" s="102">
        <f t="shared" si="23"/>
        <v>22155000</v>
      </c>
      <c r="X66" s="102">
        <f t="shared" si="23"/>
        <v>22100258.9</v>
      </c>
      <c r="Y66" s="102">
        <f t="shared" si="23"/>
        <v>22500000</v>
      </c>
    </row>
    <row r="67" spans="2:25" ht="12.75">
      <c r="B67" s="175" t="s">
        <v>84</v>
      </c>
      <c r="C67" s="102">
        <f aca="true" t="shared" si="24" ref="C67:Y67">C65-C66</f>
        <v>638250.0099999979</v>
      </c>
      <c r="D67" s="102">
        <f t="shared" si="24"/>
        <v>904138.6599999964</v>
      </c>
      <c r="E67" s="102">
        <f t="shared" si="24"/>
        <v>13876.320000000298</v>
      </c>
      <c r="F67" s="102">
        <f t="shared" si="24"/>
        <v>0</v>
      </c>
      <c r="G67" s="102">
        <f t="shared" si="24"/>
        <v>128056.56000000238</v>
      </c>
      <c r="H67" s="102">
        <f t="shared" si="24"/>
        <v>0</v>
      </c>
      <c r="I67" s="102">
        <f t="shared" si="24"/>
        <v>0</v>
      </c>
      <c r="J67" s="102">
        <f t="shared" si="24"/>
        <v>-108178.67000000179</v>
      </c>
      <c r="K67" s="102">
        <f t="shared" si="24"/>
        <v>0</v>
      </c>
      <c r="L67" s="102">
        <f t="shared" si="24"/>
        <v>417642.3399999961</v>
      </c>
      <c r="M67" s="102">
        <f t="shared" si="24"/>
        <v>0</v>
      </c>
      <c r="N67" s="102">
        <f t="shared" si="24"/>
        <v>0</v>
      </c>
      <c r="O67" s="102">
        <f t="shared" si="24"/>
        <v>0</v>
      </c>
      <c r="P67" s="102">
        <f t="shared" si="24"/>
        <v>0</v>
      </c>
      <c r="Q67" s="102">
        <f t="shared" si="24"/>
        <v>0</v>
      </c>
      <c r="R67" s="102">
        <f t="shared" si="24"/>
        <v>0</v>
      </c>
      <c r="S67" s="102">
        <f t="shared" si="24"/>
        <v>0</v>
      </c>
      <c r="T67" s="102">
        <f t="shared" si="24"/>
        <v>0</v>
      </c>
      <c r="U67" s="102">
        <f t="shared" si="24"/>
        <v>0</v>
      </c>
      <c r="V67" s="102">
        <f t="shared" si="24"/>
        <v>0</v>
      </c>
      <c r="W67" s="102">
        <f t="shared" si="24"/>
        <v>0</v>
      </c>
      <c r="X67" s="102">
        <f t="shared" si="24"/>
        <v>0</v>
      </c>
      <c r="Y67" s="102">
        <f t="shared" si="24"/>
        <v>0</v>
      </c>
    </row>
    <row r="68" spans="2:25" ht="12.75">
      <c r="B68" s="175" t="s">
        <v>85</v>
      </c>
      <c r="C68" s="102">
        <f aca="true" t="shared" si="25" ref="C68:Y68">C42/C5*100</f>
        <v>1.4287845717481964</v>
      </c>
      <c r="D68" s="102">
        <f t="shared" si="25"/>
        <v>1.8574664740391797</v>
      </c>
      <c r="E68" s="102">
        <f t="shared" si="25"/>
        <v>4.956922825255505</v>
      </c>
      <c r="F68" s="102">
        <f t="shared" si="25"/>
        <v>8.150257273824034</v>
      </c>
      <c r="G68" s="122">
        <f t="shared" si="25"/>
        <v>8.415445208001525</v>
      </c>
      <c r="H68" s="122">
        <f t="shared" si="25"/>
        <v>8.557529047511323</v>
      </c>
      <c r="I68" s="102">
        <f t="shared" si="25"/>
        <v>8.90659774112678</v>
      </c>
      <c r="J68" s="212">
        <f t="shared" si="25"/>
        <v>9.476647213353221</v>
      </c>
      <c r="K68" s="212">
        <f t="shared" si="25"/>
        <v>9.777530405742713</v>
      </c>
      <c r="L68" s="212">
        <f t="shared" si="25"/>
        <v>10.437822000462225</v>
      </c>
      <c r="M68" s="212">
        <f t="shared" si="25"/>
        <v>11.862720157323597</v>
      </c>
      <c r="N68" s="212">
        <f t="shared" si="25"/>
        <v>3.6404609590927133</v>
      </c>
      <c r="O68" s="212">
        <f t="shared" si="25"/>
        <v>5.562714220815828</v>
      </c>
      <c r="P68" s="212">
        <f t="shared" si="25"/>
        <v>7.340321251796264</v>
      </c>
      <c r="Q68" s="212">
        <f t="shared" si="25"/>
        <v>8.232465906605274</v>
      </c>
      <c r="R68" s="212">
        <f t="shared" si="25"/>
        <v>10.531153469204998</v>
      </c>
      <c r="S68" s="212">
        <f t="shared" si="25"/>
        <v>10.481503876651981</v>
      </c>
      <c r="T68" s="212">
        <f t="shared" si="25"/>
        <v>8.916550551876378</v>
      </c>
      <c r="U68" s="212">
        <f t="shared" si="25"/>
        <v>6.59090909090909</v>
      </c>
      <c r="V68" s="212">
        <f t="shared" si="25"/>
        <v>4.029333333333334</v>
      </c>
      <c r="W68" s="212">
        <f t="shared" si="25"/>
        <v>3.3225005642067256</v>
      </c>
      <c r="X68" s="212">
        <f t="shared" si="25"/>
        <v>2.9519332916050143</v>
      </c>
      <c r="Y68" s="212">
        <f t="shared" si="25"/>
        <v>0.08888888888888889</v>
      </c>
    </row>
    <row r="69" spans="1:25" ht="33.75" hidden="1">
      <c r="A69">
        <v>6357</v>
      </c>
      <c r="B69" s="175" t="s">
        <v>86</v>
      </c>
      <c r="C69" s="176"/>
      <c r="D69" s="176"/>
      <c r="E69" s="176"/>
      <c r="F69" s="177"/>
      <c r="G69" s="178">
        <v>2010</v>
      </c>
      <c r="H69" s="178"/>
      <c r="I69" s="179" t="s">
        <v>87</v>
      </c>
      <c r="J69" s="179">
        <v>2011</v>
      </c>
      <c r="K69" s="179"/>
      <c r="L69" s="179" t="s">
        <v>79</v>
      </c>
      <c r="M69" s="177" t="s">
        <v>79</v>
      </c>
      <c r="N69" s="177" t="s">
        <v>87</v>
      </c>
      <c r="O69" s="177" t="s">
        <v>87</v>
      </c>
      <c r="P69" s="178"/>
      <c r="Q69" s="178"/>
      <c r="R69" s="178"/>
      <c r="S69" s="178"/>
      <c r="T69" s="178"/>
      <c r="U69" s="178"/>
      <c r="V69" s="178"/>
      <c r="W69" s="178"/>
      <c r="X69" s="180"/>
      <c r="Y69" s="178"/>
    </row>
    <row r="70" spans="2:25" ht="33.75" hidden="1">
      <c r="B70" s="175" t="s">
        <v>88</v>
      </c>
      <c r="C70" s="176" t="s">
        <v>89</v>
      </c>
      <c r="D70" s="176"/>
      <c r="E70" s="176"/>
      <c r="F70" s="177"/>
      <c r="G70" s="178"/>
      <c r="H70" s="178"/>
      <c r="I70" s="179"/>
      <c r="J70" s="179"/>
      <c r="K70" s="179"/>
      <c r="L70" s="179"/>
      <c r="M70" s="177"/>
      <c r="N70" s="177"/>
      <c r="O70" s="177"/>
      <c r="P70" s="178"/>
      <c r="Q70" s="178"/>
      <c r="R70" s="178"/>
      <c r="S70" s="178"/>
      <c r="T70" s="178"/>
      <c r="U70" s="178"/>
      <c r="V70" s="178"/>
      <c r="W70" s="178"/>
      <c r="X70" s="180"/>
      <c r="Y70" s="178"/>
    </row>
    <row r="71" spans="2:25" ht="12.75" hidden="1">
      <c r="B71" s="175" t="s">
        <v>90</v>
      </c>
      <c r="C71" s="176" t="s">
        <v>91</v>
      </c>
      <c r="D71" s="176"/>
      <c r="E71" s="176"/>
      <c r="F71" s="177"/>
      <c r="G71" s="178"/>
      <c r="H71" s="178"/>
      <c r="I71" s="179"/>
      <c r="J71" s="179"/>
      <c r="K71" s="179"/>
      <c r="L71" s="179"/>
      <c r="M71" s="177"/>
      <c r="N71" s="177"/>
      <c r="O71" s="177"/>
      <c r="P71" s="178"/>
      <c r="Q71" s="178"/>
      <c r="R71" s="178"/>
      <c r="S71" s="178"/>
      <c r="T71" s="178"/>
      <c r="U71" s="178"/>
      <c r="V71" s="178"/>
      <c r="W71" s="178"/>
      <c r="X71" s="180"/>
      <c r="Y71" s="178"/>
    </row>
    <row r="72" spans="2:25" ht="22.5" hidden="1">
      <c r="B72" s="175" t="s">
        <v>92</v>
      </c>
      <c r="C72" s="176"/>
      <c r="D72" s="176"/>
      <c r="E72" s="176"/>
      <c r="F72" s="176"/>
      <c r="G72" s="83"/>
      <c r="H72" s="83"/>
      <c r="I72" s="176"/>
      <c r="J72" s="176"/>
      <c r="K72" s="176"/>
      <c r="L72" s="176"/>
      <c r="M72" s="176"/>
      <c r="N72" s="176"/>
      <c r="O72" s="176"/>
      <c r="P72" s="83"/>
      <c r="Q72" s="83"/>
      <c r="R72" s="83"/>
      <c r="S72" s="83"/>
      <c r="T72" s="83"/>
      <c r="U72" s="83"/>
      <c r="V72" s="83"/>
      <c r="W72" s="83"/>
      <c r="X72" s="84"/>
      <c r="Y72" s="83"/>
    </row>
    <row r="73" spans="2:25" ht="12.75" hidden="1">
      <c r="B73" s="175"/>
      <c r="C73" s="176"/>
      <c r="D73" s="181">
        <v>2008</v>
      </c>
      <c r="E73" s="181">
        <v>2009</v>
      </c>
      <c r="F73" s="181"/>
      <c r="G73" s="182">
        <v>2010</v>
      </c>
      <c r="H73" s="183" t="s">
        <v>93</v>
      </c>
      <c r="I73" s="179"/>
      <c r="J73" s="179" t="s">
        <v>94</v>
      </c>
      <c r="K73" s="179"/>
      <c r="L73" s="179">
        <v>2012</v>
      </c>
      <c r="M73" s="181">
        <v>2013</v>
      </c>
      <c r="N73" s="181">
        <v>2014</v>
      </c>
      <c r="O73" s="181">
        <v>2015</v>
      </c>
      <c r="P73" s="182">
        <v>2016</v>
      </c>
      <c r="Q73" s="182">
        <v>2017</v>
      </c>
      <c r="R73" s="182">
        <v>2018</v>
      </c>
      <c r="S73" s="83"/>
      <c r="T73" s="83"/>
      <c r="U73" s="83"/>
      <c r="V73" s="83"/>
      <c r="W73" s="83"/>
      <c r="X73" s="84"/>
      <c r="Y73" s="83"/>
    </row>
    <row r="74" spans="2:25" ht="22.5" hidden="1">
      <c r="B74" s="175" t="s">
        <v>95</v>
      </c>
      <c r="C74" s="184">
        <f aca="true" t="shared" si="26" ref="C74:J74">(C6+C11-C15)/C5*100</f>
        <v>8.823271114035714</v>
      </c>
      <c r="D74" s="184">
        <f t="shared" si="26"/>
        <v>10.002710790646844</v>
      </c>
      <c r="E74" s="184">
        <f t="shared" si="26"/>
        <v>5.909003419631934</v>
      </c>
      <c r="F74" s="184">
        <f t="shared" si="26"/>
        <v>2.521966356849647</v>
      </c>
      <c r="G74" s="184">
        <f t="shared" si="26"/>
        <v>-1.2105861670759195</v>
      </c>
      <c r="H74" s="184">
        <f t="shared" si="26"/>
        <v>2.336991465012237</v>
      </c>
      <c r="I74" s="184">
        <f t="shared" si="26"/>
        <v>3.3777865670622083</v>
      </c>
      <c r="J74" s="184">
        <f t="shared" si="26"/>
        <v>3.9918568711712012</v>
      </c>
      <c r="K74" s="184"/>
      <c r="L74" s="184">
        <f aca="true" t="shared" si="27" ref="L74:T74">(L6+L11-L15)/L5*100</f>
        <v>7.493172014188298</v>
      </c>
      <c r="M74" s="184">
        <f t="shared" si="27"/>
        <v>3.1822445017156094</v>
      </c>
      <c r="N74" s="184">
        <f t="shared" si="27"/>
        <v>9.700212494216704</v>
      </c>
      <c r="O74" s="184">
        <f t="shared" si="27"/>
        <v>11.66216713266894</v>
      </c>
      <c r="P74" s="184">
        <f t="shared" si="27"/>
        <v>10.420314865080638</v>
      </c>
      <c r="Q74" s="184">
        <f t="shared" si="27"/>
        <v>10.8556042716539</v>
      </c>
      <c r="R74" s="184">
        <f t="shared" si="27"/>
        <v>13.555198539143753</v>
      </c>
      <c r="S74" s="184">
        <f t="shared" si="27"/>
        <v>14.096916299559473</v>
      </c>
      <c r="T74" s="184">
        <f t="shared" si="27"/>
        <v>13.024282560706402</v>
      </c>
      <c r="U74" s="184"/>
      <c r="V74" s="184"/>
      <c r="W74" s="184"/>
      <c r="X74" s="185">
        <f>(X6+X11-X15)/X5*100</f>
        <v>8.38173393525267</v>
      </c>
      <c r="Y74" s="186"/>
    </row>
    <row r="75" spans="2:25" ht="21" customHeight="1" hidden="1">
      <c r="B75" s="176"/>
      <c r="C75" s="185"/>
      <c r="D75" s="184"/>
      <c r="E75" s="184"/>
      <c r="F75" s="184"/>
      <c r="G75" s="187"/>
      <c r="H75" s="187"/>
      <c r="I75" s="184"/>
      <c r="J75" s="188">
        <f>G74+E74+D74</f>
        <v>14.701128043202859</v>
      </c>
      <c r="K75" s="188"/>
      <c r="L75" s="188">
        <f>H74+G74+E74</f>
        <v>7.035408717568251</v>
      </c>
      <c r="M75" s="188">
        <f>L74+J74+G74</f>
        <v>10.27444271828358</v>
      </c>
      <c r="N75" s="188">
        <f>M75+L75+J75</f>
        <v>32.01097947905469</v>
      </c>
      <c r="O75" s="188">
        <f>N75+M75+L75</f>
        <v>49.32083091490652</v>
      </c>
      <c r="P75" s="187">
        <f>O74+N74+M74</f>
        <v>24.54462412860125</v>
      </c>
      <c r="Q75" s="187">
        <f>P74+O74+N74</f>
        <v>31.78269449196628</v>
      </c>
      <c r="R75" s="187">
        <f>Q74+P74+O74</f>
        <v>32.93808626940348</v>
      </c>
      <c r="S75" s="187">
        <f>R74+Q74+P74</f>
        <v>34.83111767587829</v>
      </c>
      <c r="T75" s="187">
        <f>S74+R74+Q74</f>
        <v>38.50771911035713</v>
      </c>
      <c r="U75" s="187"/>
      <c r="V75" s="187"/>
      <c r="W75" s="187"/>
      <c r="X75" s="189"/>
      <c r="Y75" s="187"/>
    </row>
    <row r="76" spans="2:25" ht="21" customHeight="1" hidden="1">
      <c r="B76" s="176" t="s">
        <v>96</v>
      </c>
      <c r="C76" s="185"/>
      <c r="D76" s="184"/>
      <c r="E76" s="184"/>
      <c r="F76" s="184"/>
      <c r="G76" s="187"/>
      <c r="H76" s="187"/>
      <c r="I76" s="184"/>
      <c r="J76" s="188">
        <f>J75*33%</f>
        <v>4.851372254256944</v>
      </c>
      <c r="K76" s="188"/>
      <c r="L76" s="188">
        <f aca="true" t="shared" si="28" ref="L76:T76">L75*33%</f>
        <v>2.321684876797523</v>
      </c>
      <c r="M76" s="188">
        <f t="shared" si="28"/>
        <v>3.390566097033582</v>
      </c>
      <c r="N76" s="188">
        <f t="shared" si="28"/>
        <v>10.563623228088048</v>
      </c>
      <c r="O76" s="188">
        <f t="shared" si="28"/>
        <v>16.27587420191915</v>
      </c>
      <c r="P76" s="188">
        <f t="shared" si="28"/>
        <v>8.099725962438413</v>
      </c>
      <c r="Q76" s="188">
        <f t="shared" si="28"/>
        <v>10.488289182348872</v>
      </c>
      <c r="R76" s="188">
        <f t="shared" si="28"/>
        <v>10.869568468903148</v>
      </c>
      <c r="S76" s="188">
        <f t="shared" si="28"/>
        <v>11.494268833039836</v>
      </c>
      <c r="T76" s="188">
        <f t="shared" si="28"/>
        <v>12.707547306417853</v>
      </c>
      <c r="U76" s="190"/>
      <c r="V76" s="190"/>
      <c r="W76" s="190"/>
      <c r="X76" s="190"/>
      <c r="Y76" s="187"/>
    </row>
    <row r="77" spans="2:25" ht="20.25" customHeight="1" hidden="1">
      <c r="B77" s="176" t="s">
        <v>97</v>
      </c>
      <c r="C77" s="185"/>
      <c r="D77" s="184">
        <f>C74+D74+E74</f>
        <v>24.73498532431449</v>
      </c>
      <c r="E77" s="184"/>
      <c r="F77" s="184">
        <f>F74+E74+D74</f>
        <v>18.433680567128427</v>
      </c>
      <c r="G77" s="187">
        <f>G74+F74+E74</f>
        <v>7.220383609405662</v>
      </c>
      <c r="H77" s="187">
        <f>H74+G74+F74</f>
        <v>3.6483716547859646</v>
      </c>
      <c r="I77" s="184">
        <f>I74+G74+F74</f>
        <v>4.689166756835936</v>
      </c>
      <c r="J77" s="184">
        <f>J74+H74+G74</f>
        <v>5.118262169107519</v>
      </c>
      <c r="K77" s="184"/>
      <c r="L77" s="184">
        <f>H74+G74+F74</f>
        <v>3.6483716547859646</v>
      </c>
      <c r="M77" s="184">
        <f>L74+J74+H74</f>
        <v>13.822020350371737</v>
      </c>
      <c r="N77" s="184">
        <f>M74+L74+J74</f>
        <v>14.66727338707511</v>
      </c>
      <c r="O77" s="184" t="e">
        <f>N74+#REF!+L74</f>
        <v>#REF!</v>
      </c>
      <c r="P77" s="184" t="e">
        <f>O74+M74+#REF!</f>
        <v>#REF!</v>
      </c>
      <c r="Q77" s="184">
        <f>P74+N74+M74</f>
        <v>23.30277186101295</v>
      </c>
      <c r="R77" s="184">
        <f>Q74+O74+N74</f>
        <v>32.21798389853954</v>
      </c>
      <c r="S77" s="184">
        <f>R74+P74+O74</f>
        <v>35.63768053689333</v>
      </c>
      <c r="T77" s="184">
        <f>S74+Q74+P74</f>
        <v>35.37283543629401</v>
      </c>
      <c r="U77" s="184"/>
      <c r="V77" s="184"/>
      <c r="W77" s="184"/>
      <c r="X77" s="184">
        <f>X74+T74+S74</f>
        <v>35.50293279551855</v>
      </c>
      <c r="Y77" s="187"/>
    </row>
    <row r="78" spans="2:25" ht="21" customHeight="1" hidden="1">
      <c r="B78" s="176" t="s">
        <v>98</v>
      </c>
      <c r="C78" s="185"/>
      <c r="D78" s="184">
        <f>D77*0.33</f>
        <v>8.162545157023782</v>
      </c>
      <c r="E78" s="184"/>
      <c r="F78" s="184">
        <f>F77*0.33</f>
        <v>6.083114587152381</v>
      </c>
      <c r="G78" s="191">
        <f>G77*0.33</f>
        <v>2.3827265911038684</v>
      </c>
      <c r="H78" s="191">
        <f>H77*0.33</f>
        <v>1.2039626460793684</v>
      </c>
      <c r="I78" s="192"/>
      <c r="J78" s="192">
        <f>J77*0.33</f>
        <v>1.6890265158054814</v>
      </c>
      <c r="K78" s="192"/>
      <c r="L78" s="192">
        <f aca="true" t="shared" si="29" ref="L78:T78">L77*0.33</f>
        <v>1.2039626460793684</v>
      </c>
      <c r="M78" s="192">
        <f t="shared" si="29"/>
        <v>4.561266715622674</v>
      </c>
      <c r="N78" s="192">
        <f t="shared" si="29"/>
        <v>4.840200217734786</v>
      </c>
      <c r="O78" s="192" t="e">
        <f t="shared" si="29"/>
        <v>#REF!</v>
      </c>
      <c r="P78" s="184" t="e">
        <f t="shared" si="29"/>
        <v>#REF!</v>
      </c>
      <c r="Q78" s="184">
        <f t="shared" si="29"/>
        <v>7.689914714134273</v>
      </c>
      <c r="R78" s="184">
        <f t="shared" si="29"/>
        <v>10.63193468651805</v>
      </c>
      <c r="S78" s="184">
        <f t="shared" si="29"/>
        <v>11.760434577174799</v>
      </c>
      <c r="T78" s="184">
        <f t="shared" si="29"/>
        <v>11.673035693977024</v>
      </c>
      <c r="U78" s="184"/>
      <c r="V78" s="184"/>
      <c r="W78" s="184"/>
      <c r="X78" s="184">
        <f>X77*0.33</f>
        <v>11.71596782252112</v>
      </c>
      <c r="Y78" s="187"/>
    </row>
    <row r="79" spans="2:25" ht="22.5" customHeight="1" hidden="1">
      <c r="B79" s="176" t="s">
        <v>99</v>
      </c>
      <c r="C79" s="176"/>
      <c r="D79" s="184"/>
      <c r="E79" s="184"/>
      <c r="F79" s="184"/>
      <c r="G79" s="193">
        <f>(G42)/G5*100</f>
        <v>8.415445208001525</v>
      </c>
      <c r="H79" s="193">
        <f>(H42)/H5*100</f>
        <v>8.557529047511323</v>
      </c>
      <c r="I79" s="188"/>
      <c r="J79" s="188">
        <f>(J42)/J5*100</f>
        <v>9.476647213353221</v>
      </c>
      <c r="K79" s="188"/>
      <c r="L79" s="188">
        <f aca="true" t="shared" si="30" ref="L79:S79">(L42)/L5*100</f>
        <v>10.437822000462225</v>
      </c>
      <c r="M79" s="188">
        <f t="shared" si="30"/>
        <v>11.862720157323597</v>
      </c>
      <c r="N79" s="188">
        <f t="shared" si="30"/>
        <v>3.6404609590927133</v>
      </c>
      <c r="O79" s="188">
        <f t="shared" si="30"/>
        <v>5.562714220815828</v>
      </c>
      <c r="P79" s="188">
        <f t="shared" si="30"/>
        <v>7.340321251796264</v>
      </c>
      <c r="Q79" s="188">
        <f t="shared" si="30"/>
        <v>8.232465906605274</v>
      </c>
      <c r="R79" s="188">
        <f t="shared" si="30"/>
        <v>10.531153469204998</v>
      </c>
      <c r="S79" s="188">
        <f t="shared" si="30"/>
        <v>10.481503876651981</v>
      </c>
      <c r="T79" s="188">
        <f>(T42)/T5</f>
        <v>0.08916550551876379</v>
      </c>
      <c r="U79" s="188"/>
      <c r="V79" s="188"/>
      <c r="W79" s="188"/>
      <c r="X79" s="188">
        <f>(X42)/X5</f>
        <v>0.02951933291605014</v>
      </c>
      <c r="Y79" s="193"/>
    </row>
    <row r="80" spans="2:25" ht="12.75" hidden="1"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194"/>
      <c r="V80" s="194"/>
      <c r="W80" s="194"/>
      <c r="X80" s="176"/>
      <c r="Y80" s="83"/>
    </row>
    <row r="81" spans="7:25" ht="12.75" hidden="1">
      <c r="G81">
        <v>2011</v>
      </c>
      <c r="I81">
        <v>2012</v>
      </c>
      <c r="L81">
        <v>2013</v>
      </c>
      <c r="M81">
        <v>2014</v>
      </c>
      <c r="N81">
        <v>2015</v>
      </c>
      <c r="O81">
        <v>2016</v>
      </c>
      <c r="P81">
        <v>2017</v>
      </c>
      <c r="Q81">
        <v>2018</v>
      </c>
      <c r="Y81" s="195"/>
    </row>
    <row r="82" spans="6:25" ht="12.75" hidden="1"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>
        <v>30</v>
      </c>
      <c r="R82" s="195"/>
      <c r="Y82" s="195"/>
    </row>
    <row r="83" spans="6:25" ht="12.75" hidden="1">
      <c r="F83" s="195"/>
      <c r="G83" s="195">
        <v>73</v>
      </c>
      <c r="H83" s="195"/>
      <c r="I83" s="195"/>
      <c r="J83" s="195"/>
      <c r="K83" s="195"/>
      <c r="L83" s="195">
        <v>35</v>
      </c>
      <c r="M83" s="195">
        <v>60</v>
      </c>
      <c r="N83" s="195">
        <v>100</v>
      </c>
      <c r="O83" s="195">
        <v>140</v>
      </c>
      <c r="P83" s="195">
        <v>131</v>
      </c>
      <c r="Q83" s="195">
        <f>SUM(G83:P83)</f>
        <v>539</v>
      </c>
      <c r="R83" s="195"/>
      <c r="Y83" s="195"/>
    </row>
    <row r="84" spans="6:25" ht="12.75" hidden="1"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>
        <v>413</v>
      </c>
      <c r="R84" s="195"/>
      <c r="Y84" s="195"/>
    </row>
    <row r="85" spans="6:25" ht="12.75" hidden="1">
      <c r="F85" s="196" t="s">
        <v>100</v>
      </c>
      <c r="G85" s="196">
        <f>SUM(G82:G84)</f>
        <v>73</v>
      </c>
      <c r="H85" s="196"/>
      <c r="I85" s="196"/>
      <c r="J85" s="196"/>
      <c r="K85" s="196"/>
      <c r="L85" s="196">
        <f>SUM(L83:L84)</f>
        <v>35</v>
      </c>
      <c r="M85" s="196">
        <f>SUM(M83:M84)</f>
        <v>60</v>
      </c>
      <c r="N85" s="196">
        <f>SUM(N83:N84)</f>
        <v>100</v>
      </c>
      <c r="O85" s="196">
        <f>SUM(O83:O84)</f>
        <v>140</v>
      </c>
      <c r="P85" s="196">
        <f>SUM(P83:P84)</f>
        <v>131</v>
      </c>
      <c r="Q85" s="196">
        <f>SUM(Q82:Q84)</f>
        <v>982</v>
      </c>
      <c r="R85" s="195"/>
      <c r="Y85" s="195"/>
    </row>
    <row r="86" spans="6:25" ht="12.75" hidden="1">
      <c r="F86" s="195"/>
      <c r="G86" s="195">
        <v>-73</v>
      </c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Y86" s="195"/>
    </row>
    <row r="87" spans="6:25" ht="12.75" hidden="1">
      <c r="F87" s="195" t="s">
        <v>101</v>
      </c>
      <c r="G87" s="195"/>
      <c r="H87" s="195"/>
      <c r="I87" s="195"/>
      <c r="J87" s="195"/>
      <c r="K87" s="195"/>
      <c r="L87" s="195">
        <v>35</v>
      </c>
      <c r="M87" s="195">
        <v>60</v>
      </c>
      <c r="N87" s="195">
        <v>100</v>
      </c>
      <c r="O87" s="195">
        <v>140</v>
      </c>
      <c r="P87" s="195">
        <v>131</v>
      </c>
      <c r="Q87" s="195">
        <f>SUM(G87:P87)</f>
        <v>466</v>
      </c>
      <c r="R87" s="195"/>
      <c r="Y87" s="195"/>
    </row>
    <row r="88" spans="6:25" ht="12.75" hidden="1">
      <c r="F88" s="195" t="s">
        <v>102</v>
      </c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>
        <v>20</v>
      </c>
      <c r="R88" s="195"/>
      <c r="Y88" s="195"/>
    </row>
    <row r="89" spans="6:25" ht="12.75" hidden="1"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>
        <v>-20</v>
      </c>
      <c r="R89" s="195"/>
      <c r="Y89" s="195"/>
    </row>
    <row r="90" spans="6:25" ht="12.75" hidden="1">
      <c r="F90" s="196" t="s">
        <v>103</v>
      </c>
      <c r="G90" s="196">
        <v>0</v>
      </c>
      <c r="H90" s="196"/>
      <c r="I90" s="196">
        <f>SUM(I87:I89)</f>
        <v>0</v>
      </c>
      <c r="J90" s="196"/>
      <c r="K90" s="196"/>
      <c r="L90" s="196">
        <v>35</v>
      </c>
      <c r="M90" s="196">
        <v>60</v>
      </c>
      <c r="N90" s="196">
        <v>100</v>
      </c>
      <c r="O90" s="196">
        <v>140</v>
      </c>
      <c r="P90" s="196">
        <v>131</v>
      </c>
      <c r="Q90" s="196">
        <f>SUM(Q87:Q89)</f>
        <v>466</v>
      </c>
      <c r="R90" s="195"/>
      <c r="Y90" s="195"/>
    </row>
    <row r="91" spans="6:25" ht="12.75" hidden="1"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5"/>
      <c r="Y91" s="195"/>
    </row>
    <row r="92" spans="6:27" ht="12.75" hidden="1">
      <c r="F92" s="197"/>
      <c r="G92" s="197"/>
      <c r="H92" s="197"/>
      <c r="I92" s="197"/>
      <c r="J92" s="197" t="s">
        <v>104</v>
      </c>
      <c r="K92" s="197"/>
      <c r="L92" s="197">
        <v>2012</v>
      </c>
      <c r="M92" s="197">
        <v>2013</v>
      </c>
      <c r="N92" s="197">
        <v>2014</v>
      </c>
      <c r="O92" s="197">
        <v>2015</v>
      </c>
      <c r="P92" s="197">
        <v>2016</v>
      </c>
      <c r="Q92" s="197">
        <v>2017</v>
      </c>
      <c r="R92" s="197">
        <v>2018</v>
      </c>
      <c r="S92" s="197">
        <v>2019</v>
      </c>
      <c r="T92" s="197">
        <v>2020</v>
      </c>
      <c r="U92" s="197"/>
      <c r="V92" s="197"/>
      <c r="W92" s="197"/>
      <c r="X92" s="197">
        <v>2021</v>
      </c>
      <c r="Y92" s="196"/>
      <c r="Z92" s="197">
        <v>2022</v>
      </c>
      <c r="AA92" s="197">
        <v>2023</v>
      </c>
    </row>
    <row r="93" spans="6:25" ht="12.75" hidden="1"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Y93" s="195"/>
    </row>
    <row r="94" spans="2:27" ht="12.75" hidden="1">
      <c r="B94" t="s">
        <v>105</v>
      </c>
      <c r="J94" s="198">
        <v>1703178</v>
      </c>
      <c r="K94" s="198"/>
      <c r="M94" s="198">
        <v>1736174</v>
      </c>
      <c r="N94" s="198">
        <v>2280337</v>
      </c>
      <c r="P94" s="198"/>
      <c r="Q94" s="198"/>
      <c r="R94" s="198"/>
      <c r="S94" s="198"/>
      <c r="T94" s="198"/>
      <c r="U94" s="198"/>
      <c r="V94" s="198"/>
      <c r="W94" s="198"/>
      <c r="X94" s="198"/>
      <c r="Y94" s="199"/>
      <c r="Z94" s="198"/>
      <c r="AA94" s="198"/>
    </row>
    <row r="95" spans="10:27" ht="12.75" hidden="1">
      <c r="J95" s="198"/>
      <c r="K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9"/>
      <c r="Z95" s="198"/>
      <c r="AA95" s="198"/>
    </row>
    <row r="96" spans="10:27" ht="12.75" hidden="1">
      <c r="J96" s="198">
        <v>533704</v>
      </c>
      <c r="K96" s="198"/>
      <c r="L96" s="198"/>
      <c r="M96" s="198">
        <v>483603</v>
      </c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9"/>
      <c r="Z96" s="198"/>
      <c r="AA96" s="198"/>
    </row>
    <row r="97" spans="10:27" ht="12.75" hidden="1"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9"/>
      <c r="Z97" s="198"/>
      <c r="AA97" s="198"/>
    </row>
    <row r="98" spans="2:27" ht="12.75">
      <c r="B98" s="197" t="s">
        <v>106</v>
      </c>
      <c r="J98" s="200">
        <v>2011</v>
      </c>
      <c r="K98" s="200" t="s">
        <v>107</v>
      </c>
      <c r="L98" s="201">
        <v>2012</v>
      </c>
      <c r="M98" s="200">
        <v>2013</v>
      </c>
      <c r="N98" s="200">
        <v>2014</v>
      </c>
      <c r="O98" s="200">
        <v>2015</v>
      </c>
      <c r="P98" s="200">
        <v>2016</v>
      </c>
      <c r="Q98" s="200">
        <v>2017</v>
      </c>
      <c r="R98" s="200">
        <v>2018</v>
      </c>
      <c r="S98" s="200">
        <v>2019</v>
      </c>
      <c r="T98" s="200">
        <v>2020</v>
      </c>
      <c r="U98" s="200">
        <v>2021</v>
      </c>
      <c r="V98" s="200">
        <v>2022</v>
      </c>
      <c r="W98" s="200">
        <v>2023</v>
      </c>
      <c r="X98" s="200">
        <v>2024</v>
      </c>
      <c r="Y98" s="202"/>
      <c r="Z98" s="198"/>
      <c r="AA98" s="198"/>
    </row>
    <row r="99" spans="2:27" ht="12.75">
      <c r="B99" s="176" t="s">
        <v>108</v>
      </c>
      <c r="J99" s="103">
        <f aca="true" t="shared" si="31" ref="J99:Y99">(J6+J11-J15)/J5*100</f>
        <v>3.9918568711712012</v>
      </c>
      <c r="K99" s="103">
        <f t="shared" si="31"/>
        <v>3.8004018339570034</v>
      </c>
      <c r="L99" s="103">
        <f t="shared" si="31"/>
        <v>7.493172014188298</v>
      </c>
      <c r="M99" s="103">
        <f t="shared" si="31"/>
        <v>3.1822445017156094</v>
      </c>
      <c r="N99" s="103">
        <f t="shared" si="31"/>
        <v>9.700212494216704</v>
      </c>
      <c r="O99" s="103">
        <f t="shared" si="31"/>
        <v>11.66216713266894</v>
      </c>
      <c r="P99" s="103">
        <f t="shared" si="31"/>
        <v>10.420314865080638</v>
      </c>
      <c r="Q99" s="103">
        <f t="shared" si="31"/>
        <v>10.8556042716539</v>
      </c>
      <c r="R99" s="103">
        <f t="shared" si="31"/>
        <v>13.555198539143753</v>
      </c>
      <c r="S99" s="103">
        <f t="shared" si="31"/>
        <v>14.096916299559473</v>
      </c>
      <c r="T99" s="103">
        <f t="shared" si="31"/>
        <v>13.024282560706402</v>
      </c>
      <c r="U99" s="103">
        <f t="shared" si="31"/>
        <v>10.681818181818182</v>
      </c>
      <c r="V99" s="103">
        <f t="shared" si="31"/>
        <v>8.918222222222221</v>
      </c>
      <c r="W99" s="103">
        <f t="shared" si="31"/>
        <v>8.999774317309862</v>
      </c>
      <c r="X99" s="103">
        <f t="shared" si="31"/>
        <v>8.38173393525267</v>
      </c>
      <c r="Y99" s="103">
        <f t="shared" si="31"/>
        <v>5.111111111111112</v>
      </c>
      <c r="Z99" s="103"/>
      <c r="AA99" s="198"/>
    </row>
    <row r="100" spans="2:27" ht="12.75">
      <c r="B100" s="221" t="s">
        <v>110</v>
      </c>
      <c r="C100" s="222"/>
      <c r="D100" s="222"/>
      <c r="E100" s="222"/>
      <c r="F100" s="222"/>
      <c r="G100" s="222"/>
      <c r="H100" s="222"/>
      <c r="I100" s="222"/>
      <c r="J100" s="223" t="s">
        <v>113</v>
      </c>
      <c r="K100" s="223"/>
      <c r="L100" s="223"/>
      <c r="M100" s="224">
        <v>3.41</v>
      </c>
      <c r="N100" s="224">
        <f>(J99+L99+M99)/3</f>
        <v>4.8890911290250365</v>
      </c>
      <c r="O100" s="224">
        <f aca="true" t="shared" si="32" ref="O100:Y100">(L99+M99+N99)/3</f>
        <v>6.791876336706871</v>
      </c>
      <c r="P100" s="224">
        <f t="shared" si="32"/>
        <v>8.181541376200416</v>
      </c>
      <c r="Q100" s="224">
        <f t="shared" si="32"/>
        <v>10.594231497322093</v>
      </c>
      <c r="R100" s="224">
        <f t="shared" si="32"/>
        <v>10.979362089801159</v>
      </c>
      <c r="S100" s="224">
        <f t="shared" si="32"/>
        <v>11.610372558626096</v>
      </c>
      <c r="T100" s="224">
        <f t="shared" si="32"/>
        <v>12.835906370119043</v>
      </c>
      <c r="U100" s="224">
        <f t="shared" si="32"/>
        <v>13.558799133136544</v>
      </c>
      <c r="V100" s="224">
        <f t="shared" si="32"/>
        <v>12.601005680694685</v>
      </c>
      <c r="W100" s="224">
        <f t="shared" si="32"/>
        <v>10.874774321582267</v>
      </c>
      <c r="X100" s="224">
        <f t="shared" si="32"/>
        <v>9.533271573783422</v>
      </c>
      <c r="Y100" s="224">
        <f t="shared" si="32"/>
        <v>8.76657682492825</v>
      </c>
      <c r="Z100" s="198"/>
      <c r="AA100" s="198"/>
    </row>
    <row r="101" spans="2:27" ht="12.75">
      <c r="B101" s="228" t="s">
        <v>112</v>
      </c>
      <c r="J101" s="198" t="s">
        <v>113</v>
      </c>
      <c r="K101" s="198"/>
      <c r="M101" s="227">
        <v>2.18</v>
      </c>
      <c r="N101" s="227">
        <v>2.88</v>
      </c>
      <c r="O101" s="227">
        <v>4.41</v>
      </c>
      <c r="P101" s="227">
        <v>7.15</v>
      </c>
      <c r="Q101" s="227">
        <v>9.9</v>
      </c>
      <c r="R101" s="227">
        <v>10.67</v>
      </c>
      <c r="S101" s="227">
        <v>11.18</v>
      </c>
      <c r="T101" s="227">
        <v>12.84</v>
      </c>
      <c r="U101" s="227">
        <v>13.94</v>
      </c>
      <c r="V101" s="227">
        <v>14.15</v>
      </c>
      <c r="W101" s="227">
        <v>12.51</v>
      </c>
      <c r="X101" s="227">
        <v>10.79</v>
      </c>
      <c r="Y101" s="227">
        <v>8.85</v>
      </c>
      <c r="Z101" s="198"/>
      <c r="AA101" s="198"/>
    </row>
    <row r="102" spans="10:27" ht="12.75">
      <c r="J102" s="198"/>
      <c r="K102" s="198"/>
      <c r="L102" s="103">
        <v>198661.3</v>
      </c>
      <c r="M102" s="198"/>
      <c r="N102" s="198">
        <v>381000</v>
      </c>
      <c r="O102" s="198">
        <v>380000</v>
      </c>
      <c r="P102" s="198">
        <v>482000</v>
      </c>
      <c r="Q102" s="198">
        <v>158000</v>
      </c>
      <c r="R102" s="198">
        <v>401200</v>
      </c>
      <c r="S102" s="198"/>
      <c r="T102" s="198"/>
      <c r="U102" s="198"/>
      <c r="V102" s="198"/>
      <c r="W102" s="198"/>
      <c r="X102" s="198"/>
      <c r="Y102" s="198"/>
      <c r="Z102" s="198"/>
      <c r="AA102" s="198"/>
    </row>
    <row r="103" spans="10:27" ht="12.75"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</row>
    <row r="104" spans="10:27" ht="12.75"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</row>
    <row r="105" spans="10:27" ht="12.75"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</row>
    <row r="106" spans="10:27" ht="12.75"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</row>
    <row r="107" spans="10:27" ht="12.75"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</row>
    <row r="108" spans="10:27" ht="12.75"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</row>
    <row r="109" spans="10:27" ht="12.75"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</row>
    <row r="110" spans="10:27" ht="12.75"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</row>
    <row r="111" spans="10:27" ht="12.75"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</row>
    <row r="112" spans="10:27" ht="12.75"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</row>
  </sheetData>
  <sheetProtection/>
  <mergeCells count="4">
    <mergeCell ref="B1:X1"/>
    <mergeCell ref="B2:S2"/>
    <mergeCell ref="T2:V2"/>
    <mergeCell ref="P3:R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2013-09-25T00:26:36Z</cp:lastPrinted>
  <dcterms:created xsi:type="dcterms:W3CDTF">1997-02-26T13:46:56Z</dcterms:created>
  <dcterms:modified xsi:type="dcterms:W3CDTF">2013-12-16T17:54:29Z</dcterms:modified>
  <cp:category/>
  <cp:version/>
  <cp:contentType/>
  <cp:contentStatus/>
</cp:coreProperties>
</file>