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752" activeTab="0"/>
  </bookViews>
  <sheets>
    <sheet name="WYDATKI RIO" sheetId="1" r:id="rId1"/>
  </sheets>
  <definedNames/>
  <calcPr fullCalcOnLoad="1"/>
</workbook>
</file>

<file path=xl/sharedStrings.xml><?xml version="1.0" encoding="utf-8"?>
<sst xmlns="http://schemas.openxmlformats.org/spreadsheetml/2006/main" count="979" uniqueCount="422">
  <si>
    <t>Dział</t>
  </si>
  <si>
    <t>Rozdział</t>
  </si>
  <si>
    <t>§</t>
  </si>
  <si>
    <t>Nazwa</t>
  </si>
  <si>
    <t>010</t>
  </si>
  <si>
    <t>01010</t>
  </si>
  <si>
    <t>01030</t>
  </si>
  <si>
    <t>Izby rolnicze</t>
  </si>
  <si>
    <t>01095</t>
  </si>
  <si>
    <t>Pozostała działalność</t>
  </si>
  <si>
    <t>TRANSPORT I ŁĄCZNOŚĆ</t>
  </si>
  <si>
    <t>Drogi publiczne gminne</t>
  </si>
  <si>
    <t>GOSPODARKA MIESZKANIOWA</t>
  </si>
  <si>
    <t>DZIAŁALNOŚĆ USŁUGOWA</t>
  </si>
  <si>
    <t>Plany zagospodarowania przestrzennego</t>
  </si>
  <si>
    <t>71035</t>
  </si>
  <si>
    <t>ADMINISTRACJA PUBLICZNA</t>
  </si>
  <si>
    <t>Ochotnicze Straże Pożarne</t>
  </si>
  <si>
    <t>RÓŻNE ROZLICZENIA</t>
  </si>
  <si>
    <t>OŚWIATA I WYCHOWANIE</t>
  </si>
  <si>
    <t>Przedszkola</t>
  </si>
  <si>
    <t>Gimnazjum</t>
  </si>
  <si>
    <t>Szkoły zawodowe</t>
  </si>
  <si>
    <t>OCHRONA ZDROWIA</t>
  </si>
  <si>
    <t>Przeciwdziałanie alkoholizmowi</t>
  </si>
  <si>
    <t>POMOC SPOŁECZNA</t>
  </si>
  <si>
    <t>Ośrodki pomocy społecznej</t>
  </si>
  <si>
    <t>Centra Integracji Społecznej</t>
  </si>
  <si>
    <t>EDUKACYJNA OPIEKA WYCHOWAWCZA</t>
  </si>
  <si>
    <t>Pomoc materialna dla uczniów</t>
  </si>
  <si>
    <t>Gospodarka ściekowa i ochrona wód</t>
  </si>
  <si>
    <t>KULTURA I OCHRONA DZIEDZICTWA NARODOWEGO</t>
  </si>
  <si>
    <t>Ochrona i konserwacja zabytków</t>
  </si>
  <si>
    <t>ROLNICTWO I ŁOWIECTWO</t>
  </si>
  <si>
    <t>Infrastruktura wodociągowa  i sanitacyjna wsi</t>
  </si>
  <si>
    <t>6050</t>
  </si>
  <si>
    <t>6059</t>
  </si>
  <si>
    <t>Wydatki inwestycyjne jednostek budżetowych</t>
  </si>
  <si>
    <t>6060</t>
  </si>
  <si>
    <t>600</t>
  </si>
  <si>
    <t>60016</t>
  </si>
  <si>
    <t xml:space="preserve">Wydatki inwestycyjne jednostek i zakładów budżetowych </t>
  </si>
  <si>
    <t>700</t>
  </si>
  <si>
    <t>70005</t>
  </si>
  <si>
    <t>Gospod. gruntami i nieruchomościami</t>
  </si>
  <si>
    <t>Wydatki inwest. jednostek budżetowych</t>
  </si>
  <si>
    <t>Wydatki na zakupy inwest. jednostek budżetowych</t>
  </si>
  <si>
    <t>750</t>
  </si>
  <si>
    <t>75011</t>
  </si>
  <si>
    <t>Urzędy Wojewódzkie:</t>
  </si>
  <si>
    <t>75023</t>
  </si>
  <si>
    <t>Urzędy gminy</t>
  </si>
  <si>
    <t>BEZPIECZEŃSTWO PUBLICZNE I OCHRONA PRZECIWPOŻAROWA</t>
  </si>
  <si>
    <t>75412</t>
  </si>
  <si>
    <t>Wydatki inwest. jedn. budżetowych</t>
  </si>
  <si>
    <t>801</t>
  </si>
  <si>
    <t>SZKOŁY PODSTAWOWE</t>
  </si>
  <si>
    <t>Zespoły ekonomiczno-administracyjne szkół</t>
  </si>
  <si>
    <t>Wydatki inwestycyjne jednostek budżetowych Gmina</t>
  </si>
  <si>
    <t>Wydatki inwestycyjne jednostek budżetowych /Środki pomocowe/</t>
  </si>
  <si>
    <t>Wydatki inwestycyjne jednostek budżetowych –środki  gminy, budżetu państwa</t>
  </si>
  <si>
    <t>90003</t>
  </si>
  <si>
    <t>Oczyszczanie miast i wsi</t>
  </si>
  <si>
    <t>90004</t>
  </si>
  <si>
    <t>Utrzymanie zieleni w mieście i gminie</t>
  </si>
  <si>
    <t>Oświetlenie ulic, placów, dróg w tym:</t>
  </si>
  <si>
    <t>90095</t>
  </si>
  <si>
    <t>92109</t>
  </si>
  <si>
    <t>Domy i ośrodki Kultury, świetlice, i kluby</t>
  </si>
  <si>
    <t xml:space="preserve">Wydatki inwestycyjne jednostek budżetowych </t>
  </si>
  <si>
    <t>92605</t>
  </si>
  <si>
    <t>Zadania w zakresie kultury fizycznej i sportu</t>
  </si>
  <si>
    <t>Wydatki inwestycyjne jednostek  budżetowych</t>
  </si>
  <si>
    <t>Zakup materiałów i wyposażenia</t>
  </si>
  <si>
    <t>Zakup energii</t>
  </si>
  <si>
    <t>4270</t>
  </si>
  <si>
    <t>Zakup usług remontowych</t>
  </si>
  <si>
    <t>4300</t>
  </si>
  <si>
    <t xml:space="preserve">Zakup usług pozostałych </t>
  </si>
  <si>
    <t>4520</t>
  </si>
  <si>
    <t>Opłaty na rzecz budżetów jednostek samorządu terytor.</t>
  </si>
  <si>
    <t>2850</t>
  </si>
  <si>
    <t>Wpłaty gmin na rzecz Izb Rolniczych /2%wpływów podatku rolnego/</t>
  </si>
  <si>
    <t>Składki na ubezpieczenie społeczne</t>
  </si>
  <si>
    <t>Składki na Fundusz Pracy</t>
  </si>
  <si>
    <t>Wynagrodzenia bezosobowe</t>
  </si>
  <si>
    <t>Zakup usług pozostałych</t>
  </si>
  <si>
    <t>Różne opłaty i składki</t>
  </si>
  <si>
    <t>Zakup mat. i wyposaż.</t>
  </si>
  <si>
    <t>Zakup usług zdrowotnych</t>
  </si>
  <si>
    <t>3020</t>
  </si>
  <si>
    <t>Nagrody i wydatki os. nie zalicz. do wynagrodzeń</t>
  </si>
  <si>
    <t>4010</t>
  </si>
  <si>
    <t>Wynagrodzenia osobowe pracowników</t>
  </si>
  <si>
    <t>4040</t>
  </si>
  <si>
    <t>Dodatkowe wynagrodzenia roczne</t>
  </si>
  <si>
    <t>4110</t>
  </si>
  <si>
    <t>4120</t>
  </si>
  <si>
    <t>4170</t>
  </si>
  <si>
    <t>4210</t>
  </si>
  <si>
    <t>Zakup materiałów i wyposaż.</t>
  </si>
  <si>
    <t>Opłaty na rzecz budżetów jednostek samorządu terytorialnego</t>
  </si>
  <si>
    <t>70004</t>
  </si>
  <si>
    <t>Różne jednostki obsługi gosp. mieszk. i komunalnej</t>
  </si>
  <si>
    <t>Składki na FP</t>
  </si>
  <si>
    <t>Wynagrodzenie bezosobowe pracowników</t>
  </si>
  <si>
    <t>Zakup mat. i wyposażenia</t>
  </si>
  <si>
    <t>4260</t>
  </si>
  <si>
    <t>4430</t>
  </si>
  <si>
    <t>71004</t>
  </si>
  <si>
    <t>Cmentarze</t>
  </si>
  <si>
    <t>710</t>
  </si>
  <si>
    <t>-zlecone</t>
  </si>
  <si>
    <t>-własne</t>
  </si>
  <si>
    <t>Składki na ubezpieczenia społeczne</t>
  </si>
  <si>
    <t>4440</t>
  </si>
  <si>
    <t>Odpisy na zakładowy fundusz świadczeń socjalnych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</si>
  <si>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</si>
  <si>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</si>
  <si>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</si>
  <si>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</si>
  <si>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</si>
  <si>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</si>
  <si>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</si>
  <si>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</si>
  <si>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Nagrody i wydatki nie zaliczone do wynagrodzeń</t>
  </si>
  <si>
    <t>4140</t>
  </si>
  <si>
    <t>Wpłaty na Państwowy Fundusz Rehabilitacji Osób Niepełnosprawnych</t>
  </si>
  <si>
    <t>4280</t>
  </si>
  <si>
    <t>4350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</si>
  <si>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</si>
  <si>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</si>
  <si>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</si>
  <si>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</si>
  <si>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Odpisy na zakł. Fundusz świadczeń socjalnych</t>
  </si>
  <si>
    <t>4530</t>
  </si>
  <si>
    <t>Podatek od towarów i usług/VAT/</t>
  </si>
  <si>
    <t>Szkolenia pracowników niebędących członkami korpusu służby cywilnej</t>
  </si>
  <si>
    <t>Wydatki na zakupy inwesty-cyjne jednostek budżetowych</t>
  </si>
  <si>
    <t>75095</t>
  </si>
  <si>
    <t>2900</t>
  </si>
  <si>
    <t>Wpłaty gmin na rzecz związku gmin</t>
  </si>
  <si>
    <t>Składki na ZUS</t>
  </si>
  <si>
    <t>Wynagrodzenia bezosobowe pracowników</t>
  </si>
  <si>
    <t>75101</t>
  </si>
  <si>
    <t>Urzędy Nacz. Org. Władzy Państwowej</t>
  </si>
  <si>
    <t>751</t>
  </si>
  <si>
    <t>Opłata z tytułu zakupu usług telekomunikacyjnych telefonii stacjonarnej</t>
  </si>
  <si>
    <t>75702</t>
  </si>
  <si>
    <t>8070</t>
  </si>
  <si>
    <t>Odsetki</t>
  </si>
  <si>
    <t>757</t>
  </si>
  <si>
    <t>Rezerwy ogólne i celowe</t>
  </si>
  <si>
    <t>758</t>
  </si>
  <si>
    <t>Nagrody i wydatki osobowe nie zaliczone do wynagrodzeń</t>
  </si>
  <si>
    <t>Dodatkowe wynagrodzenia robocze</t>
  </si>
  <si>
    <t>Wynagrodzenie bezosobowe</t>
  </si>
  <si>
    <t>Zakup pomocy naukowych,dydaktycznych i książek</t>
  </si>
  <si>
    <t>Odpis na zakł FSŚ</t>
  </si>
  <si>
    <t>Oddziały przedszkolne w szkołach podstawowych</t>
  </si>
  <si>
    <t>Podróże służbowe</t>
  </si>
  <si>
    <t>Dowożenie uczniów</t>
  </si>
  <si>
    <t>Opłata z tytułu zakupu usług telekomunikacyjnych telefonii komórkowej</t>
  </si>
  <si>
    <t>Licea Ogólnokształcące</t>
  </si>
  <si>
    <t>Dokształcanie zawodowe nauczycieli</t>
  </si>
  <si>
    <t>Zakup usług</t>
  </si>
  <si>
    <t>Zwalczanie narkomanii</t>
  </si>
  <si>
    <t>85154</t>
  </si>
  <si>
    <t>2820</t>
  </si>
  <si>
    <t>Dotacja celowa z budżetu na finansowanie lub dofinansowanie zadań do realizacji stowarzyszeniom</t>
  </si>
  <si>
    <t>Wydatki osobowe niezaliczone do wynagrodzeń</t>
  </si>
  <si>
    <t>Zakup materiałów</t>
  </si>
  <si>
    <t>4220</t>
  </si>
  <si>
    <t>Zakup żywności</t>
  </si>
  <si>
    <t>Usługi pozostałe</t>
  </si>
  <si>
    <t>Opłaty czynszowe za pomieszczenia biurowe</t>
  </si>
  <si>
    <t>Odpis na zakł. Fundusz Świadczeń Socjalnych</t>
  </si>
  <si>
    <t>Zakup akcesoriów komputerowych w tym programów i licencji</t>
  </si>
  <si>
    <t>Domy pomocy społecznej</t>
  </si>
  <si>
    <t>Ośrodki wsparcia</t>
  </si>
  <si>
    <t>Nagrody i wydatki osobowe nie zalicz. do wynagrodzeń</t>
  </si>
  <si>
    <t>Energia</t>
  </si>
  <si>
    <t>Świadczenia rodzinne oraz składki na ubezpieczenia emerytalne i rentowe z ubezpieczenia  społecznego</t>
  </si>
  <si>
    <t>Wydatki osob. nie zalicz. do wynagrodzeń</t>
  </si>
  <si>
    <t>Świadczenia społeczne</t>
  </si>
  <si>
    <t>Wynagrodzenia osobowe</t>
  </si>
  <si>
    <t>Składki ZUS</t>
  </si>
  <si>
    <t>Składki na ubezpieczenia zdrowotne opłacane za osoby pobierające niektóre świadczeńz z pomocy społecznej.oraz niektórych świadczeń rodzinnych</t>
  </si>
  <si>
    <t>Składki na ubezpieczenie zdrowotne</t>
  </si>
  <si>
    <t>Dotacja celowa z budżetu na finansowanie lub dofinansowanie zadań zleconych do realizacji pozostałym jednostkom niezaliczonym do sektora finansów publicznych- środki gminy</t>
  </si>
  <si>
    <t>Dodatki mieszkaniowe</t>
  </si>
  <si>
    <t>Wydatki osob. nie zalicz. do wynagr</t>
  </si>
  <si>
    <t>Odpłatność za usługi internetowe</t>
  </si>
  <si>
    <t>Różne opł. I składki</t>
  </si>
  <si>
    <t>Usługi opiekuńcze własne</t>
  </si>
  <si>
    <t>Świetlice szkolne</t>
  </si>
  <si>
    <t>Nagrody i wydatki osobowe</t>
  </si>
  <si>
    <t>Odpis na ZFŚS</t>
  </si>
  <si>
    <t>Stypendia dla uczniów</t>
  </si>
  <si>
    <t>90002</t>
  </si>
  <si>
    <t>Gospodarka odpadami</t>
  </si>
  <si>
    <t>Zakup usług pozostałych w tym:</t>
  </si>
  <si>
    <t>Zakup energii w tym:</t>
  </si>
  <si>
    <t>2480</t>
  </si>
  <si>
    <t>Dotacja podmiotowa z budżetu dla samorządowej instytucji kultury</t>
  </si>
  <si>
    <t>92116</t>
  </si>
  <si>
    <t>Biblioteki</t>
  </si>
  <si>
    <t>92120</t>
  </si>
  <si>
    <t xml:space="preserve">Dotacje celowe z budżetu  na finansowanie lub dofinansowanie  prac remontowych i konserwatorskich obiektów zabytkowych przekazane jednostkom niezaliczanym do sektora finansów publicznych </t>
  </si>
  <si>
    <t>2830</t>
  </si>
  <si>
    <t>Dotacja celowa z budżetu na finansowanie lub dofinansowanie  zadań zleconych do realizacji pozostałym jednostkom niezaliczanym do sektora finansów publicznych</t>
  </si>
  <si>
    <t>92695</t>
  </si>
  <si>
    <t>851</t>
  </si>
  <si>
    <t>URZĘDY NACZELNYCH ORGANÓW WŁADZY PAŃSTWOWEJ,KONTROLI I OCHRONY PRAWA ORAZ SĄDOWNICTWA</t>
  </si>
  <si>
    <t>OBSŁUGA DŁUGU PUBLICZNEGO</t>
  </si>
  <si>
    <t>GOSPODARKA KOMUNALNA I OCHRONA ŚRODOWISKA</t>
  </si>
  <si>
    <t>KULTURA FIZYCZNA I SPORT</t>
  </si>
  <si>
    <t>Koszty postępowania sądowego i prokuratorskiego</t>
  </si>
  <si>
    <t>Zakup  usług zdrowotnych</t>
  </si>
  <si>
    <t>Drogi publiczne powiatowe /realizowane w drodze porozumienia/</t>
  </si>
  <si>
    <t>Inne formy pomocy dla uczniów</t>
  </si>
  <si>
    <t>kwota I wersja</t>
  </si>
  <si>
    <t>Zakup usług internetowych</t>
  </si>
  <si>
    <t>Szkolenia pracownicze</t>
  </si>
  <si>
    <t>Zakup usług obejmujących ekspertyzy</t>
  </si>
  <si>
    <t>wydatki bieżące</t>
  </si>
  <si>
    <t>Inwestycje</t>
  </si>
  <si>
    <t>Wydatki bieżące</t>
  </si>
  <si>
    <t>wyd.majątk.pozostałe</t>
  </si>
  <si>
    <t>wydatki majątkowe pozostałe</t>
  </si>
  <si>
    <t>pozostałe wydatki majątkowe</t>
  </si>
  <si>
    <t>4010Z</t>
  </si>
  <si>
    <t>4110Z</t>
  </si>
  <si>
    <t>4120Z</t>
  </si>
  <si>
    <t>4010W</t>
  </si>
  <si>
    <t>4110W</t>
  </si>
  <si>
    <t>4120W</t>
  </si>
  <si>
    <t>inwestycje</t>
  </si>
  <si>
    <t>Pozostałe zadania w zakresie polityki społecznej</t>
  </si>
  <si>
    <t>Zarządzanie kryzysowe</t>
  </si>
  <si>
    <t>Szkolenia pracowników nie będących członkami korpusu służby cywilnej</t>
  </si>
  <si>
    <t>Zakup usług dostępu do internetu</t>
  </si>
  <si>
    <t>Stołówki szkolne</t>
  </si>
  <si>
    <t>Opłaty za administrowanie i czynsze za budynki,lokale i pomieszczenia garażowe</t>
  </si>
  <si>
    <t>DOTACJE  z budzetu  na wyd.majątk i inwest</t>
  </si>
  <si>
    <t xml:space="preserve">DOTACJE  z budzetu </t>
  </si>
  <si>
    <t>dotacje w wydatkach bieżących</t>
  </si>
  <si>
    <t xml:space="preserve">dotacje w wydatkach bieżących </t>
  </si>
  <si>
    <t>pozostałe wydatki bieżące</t>
  </si>
  <si>
    <t xml:space="preserve">dotacje bieżące </t>
  </si>
  <si>
    <t>WYDAT BIEŻ(Razem-2-4)</t>
  </si>
  <si>
    <t>4040Z</t>
  </si>
  <si>
    <t>4040W</t>
  </si>
  <si>
    <t>4440W</t>
  </si>
  <si>
    <t>4440Z</t>
  </si>
  <si>
    <t>ZOGJO</t>
  </si>
  <si>
    <t>Zakup usług zdrowotnych ZOGJO</t>
  </si>
  <si>
    <t>Dodatkowe wynagrodzenia roczne ZOGJO</t>
  </si>
  <si>
    <t>URZĄD</t>
  </si>
  <si>
    <t>Wydatki na zakup i objęcie akacji, wniesienie wkładów do spółek prawa handlowego...</t>
  </si>
  <si>
    <t>w tym  rezerwa na odprawy</t>
  </si>
  <si>
    <t xml:space="preserve">  rezerwa  na zarzadzanie kryzysowe</t>
  </si>
  <si>
    <t xml:space="preserve"> w tym rezerwa ogólna </t>
  </si>
  <si>
    <t>4170W</t>
  </si>
  <si>
    <t>4210W</t>
  </si>
  <si>
    <t>4210Z</t>
  </si>
  <si>
    <t>4300W</t>
  </si>
  <si>
    <t>4300Z</t>
  </si>
  <si>
    <t xml:space="preserve">w tym wydatki bieżące </t>
  </si>
  <si>
    <t xml:space="preserve">    inwestycje </t>
  </si>
  <si>
    <t xml:space="preserve">           inwestycje </t>
  </si>
  <si>
    <t xml:space="preserve">w tym  PROGRAM   .........-MOPS </t>
  </si>
  <si>
    <t xml:space="preserve">w tym  wydatki zlecone </t>
  </si>
  <si>
    <t xml:space="preserve">     wydatki własne </t>
  </si>
  <si>
    <t xml:space="preserve">budowa sieci wodociagowej Studzianka </t>
  </si>
  <si>
    <t>UM</t>
  </si>
  <si>
    <t>Wykup nieruchomości</t>
  </si>
  <si>
    <t>Ciąg rekreacyjno spacerowy za UM-FOSA</t>
  </si>
  <si>
    <t>Zasiłki stałe</t>
  </si>
  <si>
    <t xml:space="preserve">w tym inwestycje </t>
  </si>
  <si>
    <t xml:space="preserve"> wydatki  bieżące </t>
  </si>
  <si>
    <t xml:space="preserve">  Razem  </t>
  </si>
  <si>
    <t xml:space="preserve">         Razem </t>
  </si>
  <si>
    <t xml:space="preserve">                Razem </t>
  </si>
  <si>
    <t xml:space="preserve">                            Razem </t>
  </si>
  <si>
    <t>Budowa i wyposażenie boiska w Potrytach</t>
  </si>
  <si>
    <t>Budowa i wyposażenie boiska w Radostowie</t>
  </si>
  <si>
    <t xml:space="preserve">pozostałe wydatki majątkowe </t>
  </si>
  <si>
    <r>
      <t>Obsługa pap. wart., kredyt. i pożyczek jst</t>
    </r>
    <r>
      <rPr>
        <sz val="8"/>
        <rFont val="Times New Roman"/>
        <family val="1"/>
      </rPr>
      <t>.</t>
    </r>
  </si>
  <si>
    <t>Zakup usług od j.st./odpł.za skierowane osoby/</t>
  </si>
  <si>
    <r>
      <t>Zasiłki i pomoc w naturze oraz składki na ubezpieczenie społecz</t>
    </r>
    <r>
      <rPr>
        <sz val="8"/>
        <rFont val="Times New Roman"/>
        <family val="1"/>
      </rPr>
      <t>ne</t>
    </r>
  </si>
  <si>
    <t>Budowa i wyposażenie boiska w Wojtówku</t>
  </si>
  <si>
    <t>własne</t>
  </si>
  <si>
    <t>zlecone</t>
  </si>
  <si>
    <t>Opłaty na rzecz budżetów jst</t>
  </si>
  <si>
    <t>Rózne wydatki na rzezcz osób fizycznych</t>
  </si>
  <si>
    <t>Wpłaty na PFRON</t>
  </si>
  <si>
    <t>Zakup środków żywności</t>
  </si>
  <si>
    <t>Opłaty z tytułu zakupu usług telekomunikacyjnych świadczonych w stacjonarnej publicznej sieci telefonicznej</t>
  </si>
  <si>
    <t>SP Franknowo</t>
  </si>
  <si>
    <t>Podatek od nieruchomosci</t>
  </si>
  <si>
    <t>Budowa i wyposażenie boiska w Jezioranach</t>
  </si>
  <si>
    <t>Razem</t>
  </si>
  <si>
    <t>bieżące</t>
  </si>
  <si>
    <t>razem</t>
  </si>
  <si>
    <t xml:space="preserve">kwota II wersja   NIE </t>
  </si>
  <si>
    <t>Inne formy wychowania przedszkolnego</t>
  </si>
  <si>
    <t>Zakup pozostałych usług + oświetlenie świąteczne</t>
  </si>
  <si>
    <t>Rodziny zastępcze</t>
  </si>
  <si>
    <t xml:space="preserve">wynagrodzenia </t>
  </si>
  <si>
    <t>Adaptacja struchu na pomieszczenia lekcyjne</t>
  </si>
  <si>
    <t>SP Radostowo</t>
  </si>
  <si>
    <t>Dotacje podmiotowe z budżetu dla publicznej jednostki systemu oświaty</t>
  </si>
  <si>
    <t>Stacje uzdatniania wody w msc. Franknowo, Radostowo, Wójtówko, Jeziorany</t>
  </si>
  <si>
    <t>Placówki opiekuńczo-wychowawcze</t>
  </si>
  <si>
    <t>Wpłaty gmin i pow. Na rzecz innych jst</t>
  </si>
  <si>
    <t>Zakup usług przez jst od innych jst</t>
  </si>
  <si>
    <t>Opatz ya administrowanie i cyznsye ya budznki, lokale i pomiesycyenia garaowe</t>
  </si>
  <si>
    <t>Wspieranie rodziny</t>
  </si>
  <si>
    <t>Opłaty z tytułu zakupu usług telekomunikacyjnych świadczonych w ruchomej publicznej sieci telefonicznej</t>
  </si>
  <si>
    <t>Wpływy i wydatki związane z gromadzeniem środków z opłat i kar za korzystanie ze środowiska</t>
  </si>
  <si>
    <t>Obiekty sportowe</t>
  </si>
  <si>
    <t>RAZEM WYDATKI GMINY</t>
  </si>
  <si>
    <t xml:space="preserve">Zbiorczo   wydatki GMINY </t>
  </si>
  <si>
    <t>Razem wydatki MAJĄTKOWE</t>
  </si>
  <si>
    <t>UE</t>
  </si>
  <si>
    <t>OGÓŁEM UE</t>
  </si>
  <si>
    <t>w tym UE</t>
  </si>
  <si>
    <t xml:space="preserve">       Razem  bez w tym UE  </t>
  </si>
  <si>
    <t xml:space="preserve"> w tym : UE</t>
  </si>
  <si>
    <t xml:space="preserve">         Razem  bez  w tym UE </t>
  </si>
  <si>
    <t>w tym  :UE</t>
  </si>
  <si>
    <t xml:space="preserve">wykup sieci w Dercu </t>
  </si>
  <si>
    <t>Rozliczenia z tytułu poręczeń i gwarancji udzielonych przez  jst</t>
  </si>
  <si>
    <t xml:space="preserve">Wypłaty z tytułu gwarancji i poręczeń </t>
  </si>
  <si>
    <t xml:space="preserve">  Dotacja podmiotowa z budżetu dla publicznej jednostki systemu oswiaty</t>
  </si>
  <si>
    <t>Szkolenia pracowników</t>
  </si>
  <si>
    <t>Położenie rur preizolowanych z kotłowni przy ul. Sienkiewicza 5 do budynku Sienkiewicza 3 i 7</t>
  </si>
  <si>
    <t>w tym : wydatki bieżące</t>
  </si>
  <si>
    <t>Str.% proj.2014</t>
  </si>
  <si>
    <t>dotacja gminy dla powiatu Droga Tłokowo</t>
  </si>
  <si>
    <t>Wynahrodzenia inkasowe sołtysów</t>
  </si>
  <si>
    <t>w tym : dla SP Franknowo</t>
  </si>
  <si>
    <t>dla SP Radostowo</t>
  </si>
  <si>
    <t>w tym  : SP Franknowo</t>
  </si>
  <si>
    <t>....SP Radostowo</t>
  </si>
  <si>
    <t>Opłaty na rzecz budżetów  j s t</t>
  </si>
  <si>
    <t xml:space="preserve">   SP  F </t>
  </si>
  <si>
    <t xml:space="preserve">   SP  R </t>
  </si>
  <si>
    <t>w ogólnych wydatkach w tym  SP J</t>
  </si>
  <si>
    <t xml:space="preserve">MOPS-dożywianie </t>
  </si>
  <si>
    <t xml:space="preserve">w łącznych wydatkach , w tym przy SP Jeziorany </t>
  </si>
  <si>
    <t xml:space="preserve">Wydatki na zakupy inwestycyjne jednostek budżetowych </t>
  </si>
  <si>
    <t xml:space="preserve">dotacjez gminy w wydatkach bieżących </t>
  </si>
  <si>
    <t>Wydatki na zakupy ionwestycyjne jednostek budzetowych</t>
  </si>
  <si>
    <t xml:space="preserve">...........pozostałe działy </t>
  </si>
  <si>
    <t>SP Jeziorany</t>
  </si>
  <si>
    <t xml:space="preserve">Gimnazjum </t>
  </si>
  <si>
    <t xml:space="preserve">Szkoły Ponadgimnazjalnej </t>
  </si>
  <si>
    <t>wydatki zlecone</t>
  </si>
  <si>
    <t>w tym bieżące</t>
  </si>
  <si>
    <t xml:space="preserve">             inwestycje</t>
  </si>
  <si>
    <t xml:space="preserve">z tego wydat bież.własne poza akcyzą </t>
  </si>
  <si>
    <t xml:space="preserve">    dz. 854</t>
  </si>
  <si>
    <t xml:space="preserve">z tego  dz. 801 </t>
  </si>
  <si>
    <t>razem dz.801+854</t>
  </si>
  <si>
    <t>z ogólnych wynagrodzeń i pochodnych  dz.801 i 854 wynagrodzenia i pochodne :</t>
  </si>
  <si>
    <t>Kary i odzkodowane wypłacane na rzecz osób prawnych i innych jednostek organizacyjnych</t>
  </si>
  <si>
    <t>Wydatki na zakupy inwesty-cyjne jednostek budżetowych Rozwój e-usług</t>
  </si>
  <si>
    <t>Wydatki na zakupy inwesty-cyjne jednostek budżetowychRozwój e-usług</t>
  </si>
  <si>
    <t>Budowa chodnika ul. Sienkiewicza</t>
  </si>
  <si>
    <t>Budowa alejek na cmentarzu komunalnym</t>
  </si>
  <si>
    <t>%  12:10</t>
  </si>
  <si>
    <t>DO POPR</t>
  </si>
  <si>
    <t>Przewidywane wykonanie za 2014 rok</t>
  </si>
  <si>
    <t>Struktura % pw    2014r</t>
  </si>
  <si>
    <t>Projekt budżetu na 2015 rok</t>
  </si>
  <si>
    <t>Skłądki na FP</t>
  </si>
  <si>
    <t>Naprawa muru wokół cmentarza</t>
  </si>
  <si>
    <t>Wdrożenie systemu NEKROPOLIS</t>
  </si>
  <si>
    <t>Budowa sieci wodociagowej Modliny-Franknowo</t>
  </si>
  <si>
    <t>Budowa kanalizacji sanitarnej Kalis-Wójtówko ANR 80%</t>
  </si>
  <si>
    <t>Budowa pompowni sieciowej w Radostowie</t>
  </si>
  <si>
    <t xml:space="preserve"> w tym UE</t>
  </si>
  <si>
    <t xml:space="preserve"> z tego  UE </t>
  </si>
  <si>
    <t xml:space="preserve">w tym : UE </t>
  </si>
  <si>
    <t xml:space="preserve">w trym Inwestycje </t>
  </si>
  <si>
    <t xml:space="preserve">           Razem   zbiorcze bieżące +Inwestycje</t>
  </si>
  <si>
    <t>w tym dotacje</t>
  </si>
  <si>
    <t xml:space="preserve">   Razem bieżące +Inwestycje</t>
  </si>
  <si>
    <t>dotacje bieżące z budżetu</t>
  </si>
  <si>
    <t>w tym :UE</t>
  </si>
  <si>
    <t xml:space="preserve">Razem wydatki bieżące + majątkowe </t>
  </si>
  <si>
    <t>wydatki majatk.pozostałe</t>
  </si>
  <si>
    <t xml:space="preserve">      Razem wydatki bieżące + majątkowe(z inwestycjami)</t>
  </si>
  <si>
    <t>w tym : zakup PROGRAMU</t>
  </si>
  <si>
    <t>NIEWYGASAJĄCE</t>
  </si>
  <si>
    <r>
      <t>Wydatki inwestycyjne jednostek budżetowych</t>
    </r>
    <r>
      <rPr>
        <b/>
        <sz val="8"/>
        <rFont val="Times New Roman"/>
        <family val="1"/>
      </rPr>
      <t>(PROgram</t>
    </r>
  </si>
  <si>
    <t>budowa bazy lokalowe OSP Jeziorany</t>
  </si>
  <si>
    <t>rozbudowa bazy lokalowej OSP Radostowo</t>
  </si>
  <si>
    <t>infokioski</t>
  </si>
  <si>
    <t xml:space="preserve">Plan w 2014 pełen w UR na 2014,ale w pw dla potrzeb projektu wykon faktyczne 2014 </t>
  </si>
  <si>
    <t xml:space="preserve">wszystkie nowe inwestycje w 2015 r. powinny być rozpoczynane   w 2014r </t>
  </si>
  <si>
    <t xml:space="preserve">w roku 2015 ewentualne poza niewygas </t>
  </si>
  <si>
    <t>do spraw</t>
  </si>
  <si>
    <t xml:space="preserve">Dotacje celowe z budżetu na finansowanie lub dofinansowanie kosztów realizacji inwestycji i zakupów inwestycyjnych innych jednostek sektora finansów publicznych </t>
  </si>
  <si>
    <t>razem bieżące+inwestycje</t>
  </si>
  <si>
    <t>PROGRAM ewidencja dróg-5000</t>
  </si>
  <si>
    <t xml:space="preserve">Program  ewidencja zabytków-20.000 </t>
  </si>
  <si>
    <t xml:space="preserve">Składki na ubezpieczenia społeczne </t>
  </si>
  <si>
    <t xml:space="preserve">ZOGJO  </t>
  </si>
  <si>
    <t xml:space="preserve">Składki na Fundusz Pracy </t>
  </si>
  <si>
    <t>Opłaty na rzecz budżetów jednostek samorządfu terytorialnego</t>
  </si>
  <si>
    <t>Kary postępowania sądowego i prokuratorskiego</t>
  </si>
  <si>
    <t xml:space="preserve">Wybory do rad gmin,rad powiatów i sejmików województw3,wybory wójtów,burmistrzów i prezydentów miast oraz referenda gminne,powiatowe i wojewódzkie </t>
  </si>
  <si>
    <t xml:space="preserve">Wybory do Parlamentu Europejskiego </t>
  </si>
  <si>
    <t>Komendy wojewódzkie Policji</t>
  </si>
  <si>
    <t>Wpłaty jednostek na fundusz celowy</t>
  </si>
  <si>
    <t>REMONT Bazy lokalowej Derc</t>
  </si>
  <si>
    <t xml:space="preserve">Różne wydatki na rzecz osób fizycznych </t>
  </si>
  <si>
    <t xml:space="preserve">pozostałe odsetki </t>
  </si>
  <si>
    <t xml:space="preserve">Różnice kursowe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</si>
</sst>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%"/>
    <numFmt numFmtId="174" formatCode="00\-000"/>
    <numFmt numFmtId="175" formatCode="#,##0.000"/>
  </numFmts>
  <fonts count="3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1" fontId="1" fillId="0" borderId="13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left"/>
    </xf>
    <xf numFmtId="4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6" fontId="8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1" fontId="28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top" wrapText="1"/>
    </xf>
    <xf numFmtId="4" fontId="8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4" fontId="3" fillId="0" borderId="13" xfId="0" applyNumberFormat="1" applyFont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 wrapText="1"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4" fontId="32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left" vertical="top"/>
    </xf>
    <xf numFmtId="4" fontId="3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1" fillId="0" borderId="12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6" fontId="2" fillId="0" borderId="12" xfId="0" applyNumberFormat="1" applyFont="1" applyBorder="1" applyAlignment="1">
      <alignment horizontal="left" vertical="top" wrapText="1"/>
    </xf>
    <xf numFmtId="166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6"/>
  <sheetViews>
    <sheetView tabSelected="1" workbookViewId="0" topLeftCell="A1">
      <selection activeCell="B266" sqref="B266:J312"/>
    </sheetView>
  </sheetViews>
  <sheetFormatPr defaultColWidth="9.140625" defaultRowHeight="12.75"/>
  <cols>
    <col min="1" max="1" width="4.57421875" style="9" customWidth="1"/>
    <col min="2" max="2" width="6.57421875" style="0" customWidth="1"/>
    <col min="3" max="3" width="5.57421875" style="0" customWidth="1"/>
    <col min="4" max="4" width="33.8515625" style="10" customWidth="1"/>
    <col min="5" max="5" width="12.00390625" style="7" customWidth="1"/>
    <col min="6" max="6" width="3.7109375" style="7" customWidth="1"/>
    <col min="7" max="7" width="11.7109375" style="31" bestFit="1" customWidth="1"/>
    <col min="8" max="8" width="0" style="31" hidden="1" customWidth="1"/>
    <col min="9" max="9" width="4.00390625" style="14" customWidth="1"/>
    <col min="10" max="10" width="5.140625" style="35" customWidth="1"/>
    <col min="11" max="11" width="12.00390625" style="0" customWidth="1"/>
    <col min="12" max="12" width="14.7109375" style="0" customWidth="1"/>
  </cols>
  <sheetData>
    <row r="1" spans="1:10" s="1" customFormat="1" ht="30" customHeight="1">
      <c r="A1" s="187" t="s">
        <v>0</v>
      </c>
      <c r="B1" s="161" t="s">
        <v>1</v>
      </c>
      <c r="C1" s="161" t="s">
        <v>2</v>
      </c>
      <c r="D1" s="161" t="s">
        <v>3</v>
      </c>
      <c r="E1" s="192" t="s">
        <v>374</v>
      </c>
      <c r="F1" s="183" t="s">
        <v>375</v>
      </c>
      <c r="G1" s="155" t="s">
        <v>376</v>
      </c>
      <c r="H1" s="155"/>
      <c r="I1" s="155"/>
      <c r="J1" s="190" t="s">
        <v>339</v>
      </c>
    </row>
    <row r="2" spans="1:11" ht="37.5" customHeight="1">
      <c r="A2" s="187"/>
      <c r="B2" s="161"/>
      <c r="C2" s="161"/>
      <c r="D2" s="161"/>
      <c r="E2" s="192"/>
      <c r="F2" s="184"/>
      <c r="G2" s="6" t="s">
        <v>221</v>
      </c>
      <c r="H2" s="44" t="s">
        <v>305</v>
      </c>
      <c r="I2" s="38" t="s">
        <v>372</v>
      </c>
      <c r="J2" s="191"/>
      <c r="K2" s="94"/>
    </row>
    <row r="3" spans="1:10" s="2" customFormat="1" ht="12.75">
      <c r="A3" s="111">
        <v>1</v>
      </c>
      <c r="B3" s="112">
        <v>2</v>
      </c>
      <c r="C3" s="112">
        <v>3</v>
      </c>
      <c r="D3" s="112">
        <v>4</v>
      </c>
      <c r="E3" s="114">
        <v>5</v>
      </c>
      <c r="F3" s="114">
        <v>6</v>
      </c>
      <c r="G3" s="113">
        <v>7</v>
      </c>
      <c r="H3" s="115">
        <v>13</v>
      </c>
      <c r="I3" s="115">
        <v>8</v>
      </c>
      <c r="J3" s="113">
        <v>9</v>
      </c>
    </row>
    <row r="4" spans="1:11" s="2" customFormat="1" ht="12.75">
      <c r="A4" s="174" t="s">
        <v>4</v>
      </c>
      <c r="B4" s="36"/>
      <c r="C4" s="36"/>
      <c r="D4" s="3" t="s">
        <v>33</v>
      </c>
      <c r="E4" s="5">
        <f>E10+E24+E26</f>
        <v>537735.85</v>
      </c>
      <c r="F4" s="125">
        <f aca="true" t="shared" si="0" ref="F4:F9">(E4/$E$807)*100</f>
        <v>1.85508544122588</v>
      </c>
      <c r="G4" s="5">
        <f>G10+G24+G26</f>
        <v>1123120</v>
      </c>
      <c r="H4" s="5" t="e">
        <f>H10+H24+H26</f>
        <v>#REF!</v>
      </c>
      <c r="I4" s="42">
        <f aca="true" t="shared" si="1" ref="I4:I13">(G4/E4)*100</f>
        <v>208.86091191427911</v>
      </c>
      <c r="J4" s="70">
        <f>(G4/$G$807)*100</f>
        <v>4.457493253133974</v>
      </c>
      <c r="K4" s="89"/>
    </row>
    <row r="5" spans="1:11" s="2" customFormat="1" ht="12.75">
      <c r="A5" s="175"/>
      <c r="B5" s="36"/>
      <c r="C5" s="36"/>
      <c r="D5" s="8" t="s">
        <v>225</v>
      </c>
      <c r="E5" s="6">
        <f>E11+E25+E26</f>
        <v>537235.85</v>
      </c>
      <c r="F5" s="125">
        <f t="shared" si="0"/>
        <v>1.853360537222152</v>
      </c>
      <c r="G5" s="6">
        <f>G11+G25+G26</f>
        <v>538520</v>
      </c>
      <c r="H5" s="6" t="e">
        <f>H12+H2+H274</f>
        <v>#VALUE!</v>
      </c>
      <c r="I5" s="42">
        <f t="shared" si="1"/>
        <v>100.23902909681101</v>
      </c>
      <c r="J5" s="37">
        <f>(G5/$G$807)*100</f>
        <v>2.1373043545460035</v>
      </c>
      <c r="K5" s="89"/>
    </row>
    <row r="6" spans="1:11" s="2" customFormat="1" ht="16.5" customHeight="1">
      <c r="A6" s="175"/>
      <c r="B6" s="36"/>
      <c r="C6" s="36"/>
      <c r="D6" s="8" t="s">
        <v>362</v>
      </c>
      <c r="E6" s="28">
        <f>E12+E13+E14+E15+E25</f>
        <v>47062</v>
      </c>
      <c r="F6" s="116">
        <f t="shared" si="0"/>
        <v>0.1623548644468699</v>
      </c>
      <c r="G6" s="28">
        <f>G12+G13+G14+G15+G25</f>
        <v>48520</v>
      </c>
      <c r="H6" s="28" t="e">
        <f>H12+H13+H14+H15+#REF!+#REF!+H25</f>
        <v>#REF!</v>
      </c>
      <c r="I6" s="120">
        <f t="shared" si="1"/>
        <v>103.09804088224044</v>
      </c>
      <c r="J6" s="117">
        <f>(G6/$G$807)*100</f>
        <v>0.19256853465529988</v>
      </c>
      <c r="K6" s="141"/>
    </row>
    <row r="7" spans="1:11" s="2" customFormat="1" ht="12.75">
      <c r="A7" s="175"/>
      <c r="B7" s="36"/>
      <c r="C7" s="36"/>
      <c r="D7" s="8" t="s">
        <v>226</v>
      </c>
      <c r="E7" s="6">
        <f>E19+E16</f>
        <v>500</v>
      </c>
      <c r="F7" s="116">
        <f t="shared" si="0"/>
        <v>0.0017249040037277407</v>
      </c>
      <c r="G7" s="6">
        <f>G19+G16</f>
        <v>584600</v>
      </c>
      <c r="H7" s="6" t="e">
        <f>#REF!+H19+#REF!+H16</f>
        <v>#REF!</v>
      </c>
      <c r="I7" s="38"/>
      <c r="J7" s="37">
        <f>(G7/$G$807)*100</f>
        <v>2.3201888985879706</v>
      </c>
      <c r="K7" s="89"/>
    </row>
    <row r="8" spans="1:11" s="2" customFormat="1" ht="12.75">
      <c r="A8" s="175"/>
      <c r="B8" s="36"/>
      <c r="C8" s="36"/>
      <c r="D8" s="8" t="s">
        <v>383</v>
      </c>
      <c r="E8" s="6"/>
      <c r="F8" s="116">
        <f t="shared" si="0"/>
        <v>0</v>
      </c>
      <c r="G8" s="6">
        <f>+G16+G19</f>
        <v>584600</v>
      </c>
      <c r="H8" s="6"/>
      <c r="I8" s="38"/>
      <c r="J8" s="37"/>
      <c r="K8" s="89"/>
    </row>
    <row r="9" spans="1:11" s="2" customFormat="1" ht="12.75">
      <c r="A9" s="175"/>
      <c r="B9" s="36"/>
      <c r="C9" s="36"/>
      <c r="D9" s="24" t="s">
        <v>283</v>
      </c>
      <c r="E9" s="28">
        <f>E5+E7</f>
        <v>537735.85</v>
      </c>
      <c r="F9" s="116">
        <f t="shared" si="0"/>
        <v>1.85508544122588</v>
      </c>
      <c r="G9" s="28">
        <f>G5+G7</f>
        <v>1123120</v>
      </c>
      <c r="H9" s="28" t="e">
        <f>SUM(H5:H7)</f>
        <v>#VALUE!</v>
      </c>
      <c r="I9" s="33">
        <f t="shared" si="1"/>
        <v>208.86091191427911</v>
      </c>
      <c r="J9" s="37">
        <f aca="true" t="shared" si="2" ref="J9:J15">(G9/$G$807)*100</f>
        <v>4.457493253133974</v>
      </c>
      <c r="K9" s="89"/>
    </row>
    <row r="10" spans="1:11" ht="21" customHeight="1">
      <c r="A10" s="165"/>
      <c r="B10" s="185" t="s">
        <v>5</v>
      </c>
      <c r="C10" s="3"/>
      <c r="D10" s="3" t="s">
        <v>34</v>
      </c>
      <c r="E10" s="5">
        <f>E12+E13+E14+E15+E19+E16</f>
        <v>9462</v>
      </c>
      <c r="F10" s="5">
        <f>F12+F13+F14+F15+F19+F16</f>
        <v>0.03264208336654377</v>
      </c>
      <c r="G10" s="5">
        <f>G12+G13+G14+G15+G19+G16</f>
        <v>594120</v>
      </c>
      <c r="H10" s="5" t="e">
        <f>H12+H13+H14+H15+#REF!+H19+#REF!+#REF!+#REF!+H16</f>
        <v>#REF!</v>
      </c>
      <c r="I10" s="38">
        <f t="shared" si="1"/>
        <v>6279.010779961954</v>
      </c>
      <c r="J10" s="37">
        <f t="shared" si="2"/>
        <v>2.3579723373744184</v>
      </c>
      <c r="K10" s="90"/>
    </row>
    <row r="11" spans="1:11" ht="13.5" customHeight="1">
      <c r="A11" s="165"/>
      <c r="B11" s="186"/>
      <c r="C11" s="3"/>
      <c r="D11" s="24" t="s">
        <v>338</v>
      </c>
      <c r="E11" s="28">
        <f>E12+E13+E14+E15</f>
        <v>8962</v>
      </c>
      <c r="F11" s="28">
        <f>F12+F13+F14+F15</f>
        <v>0.03091717936281603</v>
      </c>
      <c r="G11" s="28">
        <f>G12+G13+G14+G15</f>
        <v>9520</v>
      </c>
      <c r="H11" s="28" t="e">
        <f>H12+H13+H14+H15+#REF!+#REF!</f>
        <v>#REF!</v>
      </c>
      <c r="I11" s="38">
        <f t="shared" si="1"/>
        <v>106.22628877482705</v>
      </c>
      <c r="J11" s="37">
        <f t="shared" si="2"/>
        <v>0.03778343878644796</v>
      </c>
      <c r="K11" s="90"/>
    </row>
    <row r="12" spans="1:11" ht="14.25" customHeight="1">
      <c r="A12" s="165"/>
      <c r="B12" s="152"/>
      <c r="C12" s="4">
        <v>4210</v>
      </c>
      <c r="D12" s="4" t="s">
        <v>73</v>
      </c>
      <c r="E12" s="6"/>
      <c r="F12" s="116">
        <f aca="true" t="shared" si="3" ref="F12:F21">(E12/$E$807)*100</f>
        <v>0</v>
      </c>
      <c r="G12" s="30">
        <v>10</v>
      </c>
      <c r="H12" s="81"/>
      <c r="I12" s="38"/>
      <c r="J12" s="37">
        <f t="shared" si="2"/>
        <v>3.9688486120218444E-05</v>
      </c>
      <c r="K12" s="90"/>
    </row>
    <row r="13" spans="1:11" ht="12.75">
      <c r="A13" s="165"/>
      <c r="B13" s="152"/>
      <c r="C13" s="4">
        <v>4260</v>
      </c>
      <c r="D13" s="4" t="s">
        <v>74</v>
      </c>
      <c r="E13" s="6">
        <v>3500</v>
      </c>
      <c r="F13" s="116">
        <f t="shared" si="3"/>
        <v>0.012074328026094186</v>
      </c>
      <c r="G13" s="30">
        <v>3500</v>
      </c>
      <c r="H13" s="81"/>
      <c r="I13" s="38">
        <f t="shared" si="1"/>
        <v>100</v>
      </c>
      <c r="J13" s="37">
        <f t="shared" si="2"/>
        <v>0.013890970142076457</v>
      </c>
      <c r="K13" s="90"/>
    </row>
    <row r="14" spans="1:11" ht="12.75">
      <c r="A14" s="165"/>
      <c r="B14" s="152"/>
      <c r="C14" s="4" t="s">
        <v>77</v>
      </c>
      <c r="D14" s="4" t="s">
        <v>78</v>
      </c>
      <c r="E14" s="6"/>
      <c r="F14" s="116">
        <f t="shared" si="3"/>
        <v>0</v>
      </c>
      <c r="G14" s="30">
        <v>10</v>
      </c>
      <c r="H14" s="81"/>
      <c r="I14" s="38"/>
      <c r="J14" s="37">
        <f t="shared" si="2"/>
        <v>3.9688486120218444E-05</v>
      </c>
      <c r="K14" s="90"/>
    </row>
    <row r="15" spans="1:11" ht="23.25" customHeight="1">
      <c r="A15" s="165"/>
      <c r="B15" s="152"/>
      <c r="C15" s="4" t="s">
        <v>79</v>
      </c>
      <c r="D15" s="4" t="s">
        <v>80</v>
      </c>
      <c r="E15" s="6">
        <v>5462</v>
      </c>
      <c r="F15" s="116">
        <f t="shared" si="3"/>
        <v>0.018842851336721842</v>
      </c>
      <c r="G15" s="30">
        <v>6000</v>
      </c>
      <c r="H15" s="81"/>
      <c r="I15" s="38">
        <f>(G15/E15)*100</f>
        <v>109.84987184181618</v>
      </c>
      <c r="J15" s="37">
        <f t="shared" si="2"/>
        <v>0.023813091672131068</v>
      </c>
      <c r="K15" s="90"/>
    </row>
    <row r="16" spans="1:11" s="71" customFormat="1" ht="22.5" customHeight="1">
      <c r="A16" s="165"/>
      <c r="B16" s="152"/>
      <c r="C16" s="166">
        <v>6057</v>
      </c>
      <c r="D16" s="3" t="s">
        <v>37</v>
      </c>
      <c r="E16" s="5"/>
      <c r="F16" s="116">
        <f t="shared" si="3"/>
        <v>0</v>
      </c>
      <c r="G16" s="5">
        <v>380228</v>
      </c>
      <c r="H16" s="5">
        <f>H17+H18</f>
        <v>0</v>
      </c>
      <c r="I16" s="42"/>
      <c r="J16" s="37"/>
      <c r="K16" s="147"/>
    </row>
    <row r="17" spans="1:11" s="71" customFormat="1" ht="14.25" customHeight="1" hidden="1">
      <c r="A17" s="165"/>
      <c r="B17" s="152"/>
      <c r="C17" s="153"/>
      <c r="D17" s="24" t="s">
        <v>274</v>
      </c>
      <c r="E17" s="11"/>
      <c r="F17" s="116">
        <f t="shared" si="3"/>
        <v>0</v>
      </c>
      <c r="G17" s="97"/>
      <c r="H17" s="98"/>
      <c r="I17" s="38"/>
      <c r="J17" s="37"/>
      <c r="K17" s="91"/>
    </row>
    <row r="18" spans="1:11" s="71" customFormat="1" ht="12" customHeight="1">
      <c r="A18" s="165"/>
      <c r="B18" s="152"/>
      <c r="C18" s="149"/>
      <c r="D18" s="24" t="s">
        <v>380</v>
      </c>
      <c r="E18" s="11"/>
      <c r="F18" s="116">
        <f t="shared" si="3"/>
        <v>0</v>
      </c>
      <c r="G18" s="97">
        <v>380228</v>
      </c>
      <c r="H18" s="98"/>
      <c r="I18" s="38"/>
      <c r="J18" s="37"/>
      <c r="K18" s="91"/>
    </row>
    <row r="19" spans="1:11" ht="22.5" customHeight="1">
      <c r="A19" s="165"/>
      <c r="B19" s="152"/>
      <c r="C19" s="148" t="s">
        <v>36</v>
      </c>
      <c r="D19" s="25" t="s">
        <v>37</v>
      </c>
      <c r="E19" s="26">
        <f>E22</f>
        <v>500</v>
      </c>
      <c r="F19" s="116">
        <f t="shared" si="3"/>
        <v>0.0017249040037277407</v>
      </c>
      <c r="G19" s="26">
        <v>204372</v>
      </c>
      <c r="H19" s="26">
        <f>H20+H21</f>
        <v>0</v>
      </c>
      <c r="I19" s="40" t="e">
        <f>(G19/#REF!)*100</f>
        <v>#REF!</v>
      </c>
      <c r="J19" s="70">
        <f>(G19/$G$807)*100</f>
        <v>0.8111215285361285</v>
      </c>
      <c r="K19" s="90"/>
    </row>
    <row r="20" spans="1:11" ht="15.75" customHeight="1" hidden="1">
      <c r="A20" s="165"/>
      <c r="B20" s="152"/>
      <c r="C20" s="153"/>
      <c r="D20" s="24" t="s">
        <v>274</v>
      </c>
      <c r="E20" s="6"/>
      <c r="F20" s="116">
        <f t="shared" si="3"/>
        <v>0</v>
      </c>
      <c r="G20" s="30"/>
      <c r="H20" s="81"/>
      <c r="I20" s="38"/>
      <c r="J20" s="37">
        <f>(G20/$G$807)*100</f>
        <v>0</v>
      </c>
      <c r="K20" s="90"/>
    </row>
    <row r="21" spans="1:11" ht="21.75" customHeight="1" hidden="1">
      <c r="A21" s="165"/>
      <c r="B21" s="152"/>
      <c r="C21" s="149"/>
      <c r="D21" s="24" t="s">
        <v>313</v>
      </c>
      <c r="E21" s="6"/>
      <c r="F21" s="116">
        <f t="shared" si="3"/>
        <v>0</v>
      </c>
      <c r="G21" s="30"/>
      <c r="H21" s="81"/>
      <c r="I21" s="38"/>
      <c r="J21" s="37">
        <f>(G21/$G$807)*100</f>
        <v>0</v>
      </c>
      <c r="K21" s="90"/>
    </row>
    <row r="22" spans="1:11" ht="18" customHeight="1">
      <c r="A22" s="165"/>
      <c r="B22" s="152"/>
      <c r="C22" s="73"/>
      <c r="D22" s="24" t="s">
        <v>380</v>
      </c>
      <c r="E22" s="6">
        <v>500</v>
      </c>
      <c r="F22" s="116"/>
      <c r="G22" s="30">
        <v>204372</v>
      </c>
      <c r="H22" s="81"/>
      <c r="I22" s="38"/>
      <c r="J22" s="37"/>
      <c r="K22" s="90"/>
    </row>
    <row r="23" spans="1:11" ht="10.5" customHeight="1" hidden="1">
      <c r="A23" s="165"/>
      <c r="B23" s="106"/>
      <c r="C23" s="99"/>
      <c r="D23" s="23" t="s">
        <v>332</v>
      </c>
      <c r="E23" s="26"/>
      <c r="F23" s="116">
        <f aca="true" t="shared" si="4" ref="F23:F32">(E23/$E$807)*100</f>
        <v>0</v>
      </c>
      <c r="G23" s="26"/>
      <c r="H23" s="26"/>
      <c r="I23" s="40"/>
      <c r="J23" s="37"/>
      <c r="K23" s="90"/>
    </row>
    <row r="24" spans="1:11" ht="15.75" customHeight="1">
      <c r="A24" s="165"/>
      <c r="B24" s="154" t="s">
        <v>6</v>
      </c>
      <c r="C24" s="3"/>
      <c r="D24" s="3" t="s">
        <v>7</v>
      </c>
      <c r="E24" s="5">
        <f>E25</f>
        <v>38100</v>
      </c>
      <c r="F24" s="116">
        <f t="shared" si="4"/>
        <v>0.13143768508405385</v>
      </c>
      <c r="G24" s="5">
        <f>G25</f>
        <v>39000</v>
      </c>
      <c r="H24" s="5">
        <f>H25</f>
        <v>0</v>
      </c>
      <c r="I24" s="38">
        <f aca="true" t="shared" si="5" ref="I24:I32">(G24/E24)*100</f>
        <v>102.36220472440945</v>
      </c>
      <c r="J24" s="37">
        <f>(G24/$G$807)*100</f>
        <v>0.15478509586885195</v>
      </c>
      <c r="K24" s="90"/>
    </row>
    <row r="25" spans="1:11" ht="20.25" customHeight="1">
      <c r="A25" s="165"/>
      <c r="B25" s="155"/>
      <c r="C25" s="4" t="s">
        <v>81</v>
      </c>
      <c r="D25" s="4" t="s">
        <v>82</v>
      </c>
      <c r="E25" s="6">
        <v>38100</v>
      </c>
      <c r="F25" s="116">
        <f t="shared" si="4"/>
        <v>0.13143768508405385</v>
      </c>
      <c r="G25" s="30">
        <v>39000</v>
      </c>
      <c r="H25" s="81"/>
      <c r="I25" s="38">
        <f t="shared" si="5"/>
        <v>102.36220472440945</v>
      </c>
      <c r="J25" s="37">
        <f>(G25/$G$807)*100</f>
        <v>0.15478509586885195</v>
      </c>
      <c r="K25" s="90"/>
    </row>
    <row r="26" spans="1:11" ht="12.75">
      <c r="A26" s="165"/>
      <c r="B26" s="150" t="s">
        <v>8</v>
      </c>
      <c r="C26" s="3"/>
      <c r="D26" s="3" t="s">
        <v>9</v>
      </c>
      <c r="E26" s="5">
        <f>E28+E29+E30+E32+E27+E31</f>
        <v>490173.85</v>
      </c>
      <c r="F26" s="116">
        <f t="shared" si="4"/>
        <v>1.6910056727752822</v>
      </c>
      <c r="G26" s="5">
        <f>G28+G29+G30+G32+G27+G31</f>
        <v>490000</v>
      </c>
      <c r="H26" s="5" t="e">
        <f>H28+#REF!+H29+H30+H32+H27+H31</f>
        <v>#REF!</v>
      </c>
      <c r="I26" s="42">
        <f t="shared" si="5"/>
        <v>99.96453299171306</v>
      </c>
      <c r="J26" s="70">
        <f>(G26/$G$807)*100</f>
        <v>1.9447358198907039</v>
      </c>
      <c r="K26" s="139"/>
    </row>
    <row r="27" spans="1:11" s="16" customFormat="1" ht="12.75">
      <c r="A27" s="165"/>
      <c r="B27" s="151"/>
      <c r="C27" s="4">
        <v>4010</v>
      </c>
      <c r="D27" s="4" t="s">
        <v>93</v>
      </c>
      <c r="E27" s="6">
        <v>3729.67</v>
      </c>
      <c r="F27" s="116">
        <f t="shared" si="4"/>
        <v>0.01286664543116649</v>
      </c>
      <c r="G27" s="6">
        <v>3600</v>
      </c>
      <c r="H27" s="44"/>
      <c r="I27" s="38"/>
      <c r="J27" s="37"/>
      <c r="K27" s="90"/>
    </row>
    <row r="28" spans="1:11" ht="12" customHeight="1">
      <c r="A28" s="165"/>
      <c r="B28" s="159"/>
      <c r="C28" s="4">
        <v>4110</v>
      </c>
      <c r="D28" s="4" t="s">
        <v>83</v>
      </c>
      <c r="E28" s="6">
        <v>641.14</v>
      </c>
      <c r="F28" s="116">
        <f t="shared" si="4"/>
        <v>0.0022118099059000073</v>
      </c>
      <c r="G28" s="30">
        <v>620</v>
      </c>
      <c r="H28" s="81"/>
      <c r="I28" s="38">
        <f t="shared" si="5"/>
        <v>96.70274822971582</v>
      </c>
      <c r="J28" s="37">
        <f>(G28/$G$807)*100</f>
        <v>0.002460686139453544</v>
      </c>
      <c r="K28" s="90"/>
    </row>
    <row r="29" spans="1:11" ht="14.25" customHeight="1">
      <c r="A29" s="165"/>
      <c r="B29" s="159"/>
      <c r="C29" s="4">
        <v>4210</v>
      </c>
      <c r="D29" s="4" t="s">
        <v>73</v>
      </c>
      <c r="E29" s="6">
        <v>1009.44</v>
      </c>
      <c r="F29" s="116">
        <f t="shared" si="4"/>
        <v>0.003482374195045862</v>
      </c>
      <c r="G29" s="30">
        <v>1550</v>
      </c>
      <c r="H29" s="81"/>
      <c r="I29" s="38">
        <f t="shared" si="5"/>
        <v>153.55048343636076</v>
      </c>
      <c r="J29" s="37">
        <f>(G29/$G$807)*100</f>
        <v>0.006151715348633859</v>
      </c>
      <c r="K29" s="90"/>
    </row>
    <row r="30" spans="1:11" ht="12.75">
      <c r="A30" s="165"/>
      <c r="B30" s="159"/>
      <c r="C30" s="4">
        <v>4260</v>
      </c>
      <c r="D30" s="4" t="s">
        <v>74</v>
      </c>
      <c r="E30" s="6">
        <v>30</v>
      </c>
      <c r="F30" s="116">
        <f t="shared" si="4"/>
        <v>0.00010349424022366446</v>
      </c>
      <c r="G30" s="30">
        <v>30</v>
      </c>
      <c r="H30" s="81"/>
      <c r="I30" s="38">
        <f t="shared" si="5"/>
        <v>100</v>
      </c>
      <c r="J30" s="37">
        <f>(G30/$G$807)*100</f>
        <v>0.00011906545836065532</v>
      </c>
      <c r="K30" s="90"/>
    </row>
    <row r="31" spans="1:16" ht="12.75">
      <c r="A31" s="165"/>
      <c r="B31" s="159"/>
      <c r="C31" s="4">
        <v>4300</v>
      </c>
      <c r="D31" s="4" t="s">
        <v>86</v>
      </c>
      <c r="E31" s="6">
        <v>201</v>
      </c>
      <c r="F31" s="116">
        <f t="shared" si="4"/>
        <v>0.0006934114094985518</v>
      </c>
      <c r="G31" s="30">
        <v>200</v>
      </c>
      <c r="H31" s="81"/>
      <c r="I31" s="38">
        <f t="shared" si="5"/>
        <v>99.50248756218906</v>
      </c>
      <c r="J31" s="37">
        <f>(G31/$G$807)*100</f>
        <v>0.0007937697224043689</v>
      </c>
      <c r="K31" s="139"/>
      <c r="L31" s="13"/>
      <c r="M31" s="13"/>
      <c r="N31" s="13"/>
      <c r="O31" s="13"/>
      <c r="P31" s="139" t="s">
        <v>402</v>
      </c>
    </row>
    <row r="32" spans="1:11" ht="12.75">
      <c r="A32" s="165"/>
      <c r="B32" s="159"/>
      <c r="C32" s="4">
        <v>4430</v>
      </c>
      <c r="D32" s="4" t="s">
        <v>87</v>
      </c>
      <c r="E32" s="6">
        <v>484562.6</v>
      </c>
      <c r="F32" s="116">
        <f t="shared" si="4"/>
        <v>1.6716479375934477</v>
      </c>
      <c r="G32" s="30">
        <v>484000</v>
      </c>
      <c r="H32" s="81"/>
      <c r="I32" s="38">
        <f t="shared" si="5"/>
        <v>99.88389529030924</v>
      </c>
      <c r="J32" s="37">
        <f aca="true" t="shared" si="6" ref="J32:J46">(G32/$G$807)*100</f>
        <v>1.9209227282185728</v>
      </c>
      <c r="K32" s="90"/>
    </row>
    <row r="33" spans="1:11" ht="16.5" customHeight="1">
      <c r="A33" s="174" t="s">
        <v>39</v>
      </c>
      <c r="B33" s="36"/>
      <c r="C33" s="4"/>
      <c r="D33" s="3" t="s">
        <v>10</v>
      </c>
      <c r="E33" s="5">
        <f>E40+E48</f>
        <v>728574.8300000001</v>
      </c>
      <c r="F33" s="5" t="e">
        <f>F40+F48+#REF!</f>
        <v>#REF!</v>
      </c>
      <c r="G33" s="5">
        <f>G40+G48</f>
        <v>470646</v>
      </c>
      <c r="H33" s="5" t="e">
        <f>H40+H48+#REF!</f>
        <v>#REF!</v>
      </c>
      <c r="I33" s="42">
        <f>(G33/E33)*100</f>
        <v>64.5981690034502</v>
      </c>
      <c r="J33" s="70">
        <f t="shared" si="6"/>
        <v>1.867922723853633</v>
      </c>
      <c r="K33" s="90"/>
    </row>
    <row r="34" spans="1:11" ht="12.75">
      <c r="A34" s="175"/>
      <c r="B34" s="36"/>
      <c r="C34" s="4"/>
      <c r="D34" s="8" t="s">
        <v>225</v>
      </c>
      <c r="E34" s="6">
        <f>E41+E51</f>
        <v>486977</v>
      </c>
      <c r="F34" s="6" t="e">
        <f>F41+F51+#REF!</f>
        <v>#REF!</v>
      </c>
      <c r="G34" s="6">
        <f>G41+G51</f>
        <v>467646</v>
      </c>
      <c r="H34" s="6">
        <f>H41+H51</f>
        <v>0</v>
      </c>
      <c r="I34" s="42">
        <f>(G34/E34)*100</f>
        <v>96.030408006949</v>
      </c>
      <c r="J34" s="37">
        <f t="shared" si="6"/>
        <v>1.8560161780175677</v>
      </c>
      <c r="K34" s="90"/>
    </row>
    <row r="35" spans="1:11" ht="12.75">
      <c r="A35" s="175"/>
      <c r="B35" s="36"/>
      <c r="C35" s="4"/>
      <c r="D35" s="8" t="s">
        <v>226</v>
      </c>
      <c r="E35" s="6">
        <f>E42+E49</f>
        <v>241597.83000000002</v>
      </c>
      <c r="F35" s="116">
        <f aca="true" t="shared" si="7" ref="F35:F47">(E35/$E$807)*100</f>
        <v>0.8334661285178683</v>
      </c>
      <c r="G35" s="6">
        <f>G42+G49</f>
        <v>3000</v>
      </c>
      <c r="H35" s="6" t="e">
        <f>#REF!+H42+H49</f>
        <v>#REF!</v>
      </c>
      <c r="I35" s="42">
        <f>(G35/E35)*100</f>
        <v>1.2417330072873585</v>
      </c>
      <c r="J35" s="37">
        <f t="shared" si="6"/>
        <v>0.011906545836065534</v>
      </c>
      <c r="K35" s="90"/>
    </row>
    <row r="36" spans="1:11" ht="12.75" customHeight="1">
      <c r="A36" s="175"/>
      <c r="B36" s="36"/>
      <c r="C36" s="4"/>
      <c r="D36" s="8" t="s">
        <v>230</v>
      </c>
      <c r="E36" s="6">
        <f>E47</f>
        <v>0</v>
      </c>
      <c r="F36" s="116">
        <f t="shared" si="7"/>
        <v>0</v>
      </c>
      <c r="G36" s="6">
        <f>G47</f>
        <v>0</v>
      </c>
      <c r="H36" s="6">
        <f>H47</f>
        <v>0</v>
      </c>
      <c r="I36" s="42"/>
      <c r="J36" s="37">
        <f t="shared" si="6"/>
        <v>0</v>
      </c>
      <c r="K36" s="90"/>
    </row>
    <row r="37" spans="1:11" ht="12.75" customHeight="1">
      <c r="A37" s="175"/>
      <c r="B37" s="45"/>
      <c r="C37" s="4"/>
      <c r="D37" s="130" t="s">
        <v>284</v>
      </c>
      <c r="E37" s="133">
        <f>SUM(E34:E36)</f>
        <v>728574.8300000001</v>
      </c>
      <c r="F37" s="116">
        <f t="shared" si="7"/>
        <v>2.5134432825645168</v>
      </c>
      <c r="G37" s="133">
        <f>SUM(G34:G36)</f>
        <v>470646</v>
      </c>
      <c r="H37" s="28" t="e">
        <f>SUM(H34:H36)</f>
        <v>#REF!</v>
      </c>
      <c r="I37" s="42">
        <f>(G37/E37)*100</f>
        <v>64.5981690034502</v>
      </c>
      <c r="J37" s="37">
        <f t="shared" si="6"/>
        <v>1.867922723853633</v>
      </c>
      <c r="K37" s="90"/>
    </row>
    <row r="38" spans="1:11" ht="12.75" customHeight="1">
      <c r="A38" s="175"/>
      <c r="B38" s="45"/>
      <c r="C38" s="4"/>
      <c r="D38" s="8" t="s">
        <v>258</v>
      </c>
      <c r="E38" s="6"/>
      <c r="F38" s="116">
        <f t="shared" si="7"/>
        <v>0</v>
      </c>
      <c r="G38" s="6"/>
      <c r="H38" s="44"/>
      <c r="I38" s="44"/>
      <c r="J38" s="37">
        <f t="shared" si="6"/>
        <v>0</v>
      </c>
      <c r="K38" s="90"/>
    </row>
    <row r="39" spans="1:11" ht="12.75" customHeight="1">
      <c r="A39" s="175"/>
      <c r="B39" s="45"/>
      <c r="C39" s="4"/>
      <c r="D39" s="8" t="s">
        <v>255</v>
      </c>
      <c r="E39" s="6"/>
      <c r="F39" s="116">
        <f t="shared" si="7"/>
        <v>0</v>
      </c>
      <c r="G39" s="6"/>
      <c r="H39" s="44"/>
      <c r="I39" s="44"/>
      <c r="J39" s="37">
        <f t="shared" si="6"/>
        <v>0</v>
      </c>
      <c r="K39" s="90"/>
    </row>
    <row r="40" spans="1:11" ht="29.25" customHeight="1">
      <c r="A40" s="165"/>
      <c r="B40" s="150">
        <v>60014</v>
      </c>
      <c r="C40" s="3"/>
      <c r="D40" s="3" t="s">
        <v>219</v>
      </c>
      <c r="E40" s="5">
        <f>E44+E45+E46+E47</f>
        <v>76957</v>
      </c>
      <c r="F40" s="116">
        <f t="shared" si="7"/>
        <v>0.2654868748297515</v>
      </c>
      <c r="G40" s="5">
        <f>G44+G45+G46+G47</f>
        <v>69000</v>
      </c>
      <c r="H40" s="5">
        <f>H44+H45+H46+H47</f>
        <v>0</v>
      </c>
      <c r="I40" s="42">
        <f>(G40/E40)*100</f>
        <v>89.66045973725588</v>
      </c>
      <c r="J40" s="37">
        <f t="shared" si="6"/>
        <v>0.27385055422950727</v>
      </c>
      <c r="K40" s="90"/>
    </row>
    <row r="41" spans="1:11" ht="12.75">
      <c r="A41" s="165"/>
      <c r="B41" s="153"/>
      <c r="C41" s="3"/>
      <c r="D41" s="3" t="s">
        <v>268</v>
      </c>
      <c r="E41" s="5">
        <f>E44+E45+E46</f>
        <v>76957</v>
      </c>
      <c r="F41" s="116">
        <f t="shared" si="7"/>
        <v>0.2654868748297515</v>
      </c>
      <c r="G41" s="5">
        <f>G44+G45+G46</f>
        <v>69000</v>
      </c>
      <c r="H41" s="5">
        <f>H44+H45+H46</f>
        <v>0</v>
      </c>
      <c r="I41" s="42"/>
      <c r="J41" s="37">
        <f t="shared" si="6"/>
        <v>0.27385055422950727</v>
      </c>
      <c r="K41" s="90"/>
    </row>
    <row r="42" spans="1:11" ht="12.75">
      <c r="A42" s="165"/>
      <c r="B42" s="153"/>
      <c r="C42" s="3"/>
      <c r="D42" s="3" t="s">
        <v>226</v>
      </c>
      <c r="E42" s="5"/>
      <c r="F42" s="116">
        <f t="shared" si="7"/>
        <v>0</v>
      </c>
      <c r="G42" s="5"/>
      <c r="H42" s="5"/>
      <c r="I42" s="42"/>
      <c r="J42" s="37">
        <f t="shared" si="6"/>
        <v>0</v>
      </c>
      <c r="K42" s="90"/>
    </row>
    <row r="43" spans="1:11" ht="12.75">
      <c r="A43" s="165"/>
      <c r="B43" s="153"/>
      <c r="C43" s="3"/>
      <c r="D43" s="3" t="s">
        <v>287</v>
      </c>
      <c r="E43" s="5">
        <f>E47</f>
        <v>0</v>
      </c>
      <c r="F43" s="116">
        <f t="shared" si="7"/>
        <v>0</v>
      </c>
      <c r="G43" s="5">
        <f>G47</f>
        <v>0</v>
      </c>
      <c r="H43" s="5">
        <f>H47</f>
        <v>0</v>
      </c>
      <c r="I43" s="42"/>
      <c r="J43" s="37">
        <f t="shared" si="6"/>
        <v>0</v>
      </c>
      <c r="K43" s="90"/>
    </row>
    <row r="44" spans="1:11" ht="12.75">
      <c r="A44" s="165"/>
      <c r="B44" s="153"/>
      <c r="C44" s="4">
        <v>4210</v>
      </c>
      <c r="D44" s="4" t="s">
        <v>88</v>
      </c>
      <c r="E44" s="6">
        <v>1000</v>
      </c>
      <c r="F44" s="116">
        <f t="shared" si="7"/>
        <v>0.0034498080074554815</v>
      </c>
      <c r="G44" s="6">
        <v>1000</v>
      </c>
      <c r="H44" s="44"/>
      <c r="I44" s="38">
        <f>(G44/E44)*100</f>
        <v>100</v>
      </c>
      <c r="J44" s="37">
        <f t="shared" si="6"/>
        <v>0.003968848612021844</v>
      </c>
      <c r="K44" s="90"/>
    </row>
    <row r="45" spans="1:11" ht="14.25" customHeight="1">
      <c r="A45" s="165"/>
      <c r="B45" s="153"/>
      <c r="C45" s="4">
        <v>4270</v>
      </c>
      <c r="D45" s="4" t="s">
        <v>76</v>
      </c>
      <c r="E45" s="6">
        <v>22000</v>
      </c>
      <c r="F45" s="116">
        <f t="shared" si="7"/>
        <v>0.0758957761640206</v>
      </c>
      <c r="G45" s="6">
        <v>20000</v>
      </c>
      <c r="H45" s="44"/>
      <c r="I45" s="38">
        <f>(G45/E45)*100</f>
        <v>90.9090909090909</v>
      </c>
      <c r="J45" s="37">
        <f t="shared" si="6"/>
        <v>0.0793769722404369</v>
      </c>
      <c r="K45" s="90"/>
    </row>
    <row r="46" spans="1:11" ht="12.75">
      <c r="A46" s="165"/>
      <c r="B46" s="153"/>
      <c r="C46" s="4" t="s">
        <v>77</v>
      </c>
      <c r="D46" s="4" t="s">
        <v>86</v>
      </c>
      <c r="E46" s="6">
        <v>53957</v>
      </c>
      <c r="F46" s="116">
        <f t="shared" si="7"/>
        <v>0.18614129065827545</v>
      </c>
      <c r="G46" s="6">
        <v>48000</v>
      </c>
      <c r="H46" s="44"/>
      <c r="I46" s="38">
        <f>(G46/E46)*100</f>
        <v>88.95972719016994</v>
      </c>
      <c r="J46" s="37">
        <f t="shared" si="6"/>
        <v>0.19050473337704854</v>
      </c>
      <c r="K46" s="90"/>
    </row>
    <row r="47" spans="1:11" ht="13.5" customHeight="1">
      <c r="A47" s="165"/>
      <c r="B47" s="149"/>
      <c r="C47" s="25">
        <v>6620</v>
      </c>
      <c r="D47" s="46" t="s">
        <v>340</v>
      </c>
      <c r="E47" s="26"/>
      <c r="F47" s="116">
        <f t="shared" si="7"/>
        <v>0</v>
      </c>
      <c r="G47" s="26"/>
      <c r="H47" s="82"/>
      <c r="I47" s="38"/>
      <c r="J47" s="37"/>
      <c r="K47" s="90"/>
    </row>
    <row r="48" spans="1:11" ht="12.75">
      <c r="A48" s="165"/>
      <c r="B48" s="150" t="s">
        <v>40</v>
      </c>
      <c r="C48" s="3"/>
      <c r="D48" s="3" t="s">
        <v>11</v>
      </c>
      <c r="E48" s="5">
        <f>E55+E56+E57+E58+E59+E60+E61+E64+E68+E71+E67+E74+E72</f>
        <v>651617.8300000001</v>
      </c>
      <c r="F48" s="5" t="e">
        <f>F55+F56+F57+F58+F59+F60+F61+F64+F68+F71+F67+F74+#REF!+F72+#REF!</f>
        <v>#REF!</v>
      </c>
      <c r="G48" s="5">
        <f>G55+G56+G57+G58+G59+G60+G61+G64+G68+G71+G67+G74+G72</f>
        <v>401646</v>
      </c>
      <c r="H48" s="5" t="e">
        <f>H55+H56+H57+H58+H59+H60+H61+H64+H68+H71+H67+H74+#REF!+H72+#REF!</f>
        <v>#REF!</v>
      </c>
      <c r="I48" s="38">
        <f>(G48/E48)*100</f>
        <v>61.63827653396162</v>
      </c>
      <c r="J48" s="37">
        <f>(G48/$G$807)*100</f>
        <v>1.5940721696241258</v>
      </c>
      <c r="K48" s="90"/>
    </row>
    <row r="49" spans="1:11" ht="12.75">
      <c r="A49" s="165"/>
      <c r="B49" s="151"/>
      <c r="C49" s="3"/>
      <c r="D49" s="47" t="s">
        <v>279</v>
      </c>
      <c r="E49" s="5">
        <f>E74+E72</f>
        <v>241597.83000000002</v>
      </c>
      <c r="F49" s="5" t="e">
        <f>F74+#REF!+F72+#REF!</f>
        <v>#REF!</v>
      </c>
      <c r="G49" s="5">
        <f>G74+G72</f>
        <v>3000</v>
      </c>
      <c r="H49" s="5" t="e">
        <f>H74+#REF!+H72</f>
        <v>#REF!</v>
      </c>
      <c r="I49" s="38"/>
      <c r="J49" s="37">
        <f>(G49/$G$807)*100</f>
        <v>0.011906545836065534</v>
      </c>
      <c r="K49" s="90"/>
    </row>
    <row r="50" spans="1:11" ht="12.75">
      <c r="A50" s="165"/>
      <c r="B50" s="151"/>
      <c r="C50" s="3"/>
      <c r="D50" s="47" t="s">
        <v>384</v>
      </c>
      <c r="E50" s="5"/>
      <c r="F50" s="116">
        <f aca="true" t="shared" si="8" ref="F50:F81">(E50/$E$807)*100</f>
        <v>0</v>
      </c>
      <c r="G50" s="5">
        <f>G72+G74</f>
        <v>3000</v>
      </c>
      <c r="H50" s="5"/>
      <c r="I50" s="38"/>
      <c r="J50" s="37"/>
      <c r="K50" s="90"/>
    </row>
    <row r="51" spans="1:11" ht="12.75">
      <c r="A51" s="165"/>
      <c r="B51" s="151"/>
      <c r="C51" s="3"/>
      <c r="D51" s="23" t="s">
        <v>280</v>
      </c>
      <c r="E51" s="48">
        <f>E55+E56+E57+E58+E59+E60+E61+E64+E67+E68+E71</f>
        <v>410020</v>
      </c>
      <c r="F51" s="116">
        <f t="shared" si="8"/>
        <v>1.4144902792168967</v>
      </c>
      <c r="G51" s="48">
        <f>G55+G56+G57+G58+G59+G60+G61+G64+G67+G68+G71</f>
        <v>398646</v>
      </c>
      <c r="H51" s="48">
        <f>H55+H56+H57+H58+H59+H60+H61+H64+H67+H68+H71</f>
        <v>0</v>
      </c>
      <c r="I51" s="121"/>
      <c r="J51" s="122">
        <f>(G51/$G$807)*100</f>
        <v>1.5821656237880604</v>
      </c>
      <c r="K51" s="90"/>
    </row>
    <row r="52" spans="1:11" ht="12.75">
      <c r="A52" s="165"/>
      <c r="B52" s="151"/>
      <c r="C52" s="3"/>
      <c r="D52" s="130" t="s">
        <v>302</v>
      </c>
      <c r="E52" s="133">
        <f>SUM(E49:E51)</f>
        <v>651617.8300000001</v>
      </c>
      <c r="F52" s="134">
        <f t="shared" si="8"/>
        <v>2.2479564077347653</v>
      </c>
      <c r="G52" s="133">
        <f>SUM(G49:G51)</f>
        <v>404646</v>
      </c>
      <c r="H52" s="133" t="e">
        <f>SUM(H49:H51)</f>
        <v>#REF!</v>
      </c>
      <c r="I52" s="135"/>
      <c r="J52" s="136"/>
      <c r="K52" s="90"/>
    </row>
    <row r="53" spans="1:11" ht="12.75">
      <c r="A53" s="165"/>
      <c r="B53" s="151"/>
      <c r="C53" s="3"/>
      <c r="D53" s="3" t="s">
        <v>275</v>
      </c>
      <c r="E53" s="5">
        <f>E63+E66+E70+E74+E71</f>
        <v>386657.83</v>
      </c>
      <c r="F53" s="116">
        <f t="shared" si="8"/>
        <v>1.3338952780793605</v>
      </c>
      <c r="G53" s="5">
        <f>G63+G66+G70+G74+G71</f>
        <v>322500</v>
      </c>
      <c r="H53" s="5" t="e">
        <f>H63+H66+H70+#REF!+H74+H71</f>
        <v>#REF!</v>
      </c>
      <c r="I53" s="38"/>
      <c r="J53" s="37"/>
      <c r="K53" s="90"/>
    </row>
    <row r="54" spans="1:11" ht="12.75">
      <c r="A54" s="165"/>
      <c r="B54" s="151"/>
      <c r="C54" s="3"/>
      <c r="D54" s="3" t="s">
        <v>410</v>
      </c>
      <c r="E54" s="5">
        <f>E55+E56+E57+E58+E59+E60+E62+E65+E67+E69</f>
        <v>123730</v>
      </c>
      <c r="F54" s="116">
        <f t="shared" si="8"/>
        <v>0.4268447447624668</v>
      </c>
      <c r="G54" s="5">
        <f>G55+G56+G57+G58+G59+G60+G62+G65+G67+G69</f>
        <v>78146</v>
      </c>
      <c r="H54" s="5">
        <f>H55+H56+H57+H58+H59+H60+H62+H65+H67+H69</f>
        <v>0</v>
      </c>
      <c r="I54" s="38"/>
      <c r="J54" s="37"/>
      <c r="K54" s="90"/>
    </row>
    <row r="55" spans="1:11" ht="15" customHeight="1">
      <c r="A55" s="165"/>
      <c r="B55" s="152"/>
      <c r="C55" s="4" t="s">
        <v>90</v>
      </c>
      <c r="D55" s="4" t="s">
        <v>91</v>
      </c>
      <c r="E55" s="6">
        <v>7000</v>
      </c>
      <c r="F55" s="116">
        <f t="shared" si="8"/>
        <v>0.024148656052188373</v>
      </c>
      <c r="G55" s="6">
        <v>4000</v>
      </c>
      <c r="H55" s="44"/>
      <c r="I55" s="38">
        <f aca="true" t="shared" si="9" ref="I55:I61">(G55/E55)*100</f>
        <v>57.14285714285714</v>
      </c>
      <c r="J55" s="37">
        <f aca="true" t="shared" si="10" ref="J55:J71">(G55/$G$807)*100</f>
        <v>0.015875394448087377</v>
      </c>
      <c r="K55" s="90"/>
    </row>
    <row r="56" spans="1:11" ht="13.5" customHeight="1">
      <c r="A56" s="165"/>
      <c r="B56" s="152"/>
      <c r="C56" s="4" t="s">
        <v>92</v>
      </c>
      <c r="D56" s="4" t="s">
        <v>93</v>
      </c>
      <c r="E56" s="6">
        <v>11950</v>
      </c>
      <c r="F56" s="116">
        <f t="shared" si="8"/>
        <v>0.041225205689093006</v>
      </c>
      <c r="G56" s="6">
        <v>20000</v>
      </c>
      <c r="H56" s="44"/>
      <c r="I56" s="38">
        <f t="shared" si="9"/>
        <v>167.36401673640165</v>
      </c>
      <c r="J56" s="37">
        <f t="shared" si="10"/>
        <v>0.0793769722404369</v>
      </c>
      <c r="K56" s="90"/>
    </row>
    <row r="57" spans="1:11" ht="12.75" customHeight="1">
      <c r="A57" s="165"/>
      <c r="B57" s="152"/>
      <c r="C57" s="23" t="s">
        <v>94</v>
      </c>
      <c r="D57" s="4" t="s">
        <v>257</v>
      </c>
      <c r="E57" s="6"/>
      <c r="F57" s="116">
        <f t="shared" si="8"/>
        <v>0</v>
      </c>
      <c r="G57" s="6">
        <v>6451</v>
      </c>
      <c r="H57" s="44"/>
      <c r="I57" s="38" t="e">
        <f t="shared" si="9"/>
        <v>#DIV/0!</v>
      </c>
      <c r="J57" s="37">
        <f t="shared" si="10"/>
        <v>0.025603042396152922</v>
      </c>
      <c r="K57" s="90"/>
    </row>
    <row r="58" spans="1:11" ht="12" customHeight="1">
      <c r="A58" s="165"/>
      <c r="B58" s="152"/>
      <c r="C58" s="4" t="s">
        <v>96</v>
      </c>
      <c r="D58" s="4" t="s">
        <v>83</v>
      </c>
      <c r="E58" s="6">
        <v>3084</v>
      </c>
      <c r="F58" s="116">
        <f t="shared" si="8"/>
        <v>0.010639207894992706</v>
      </c>
      <c r="G58" s="6">
        <v>4547</v>
      </c>
      <c r="H58" s="44"/>
      <c r="I58" s="38">
        <f t="shared" si="9"/>
        <v>147.4383916990921</v>
      </c>
      <c r="J58" s="37">
        <f t="shared" si="10"/>
        <v>0.018046354638863327</v>
      </c>
      <c r="K58" s="90"/>
    </row>
    <row r="59" spans="1:11" ht="12.75">
      <c r="A59" s="165"/>
      <c r="B59" s="152"/>
      <c r="C59" s="4" t="s">
        <v>97</v>
      </c>
      <c r="D59" s="4" t="s">
        <v>84</v>
      </c>
      <c r="E59" s="6">
        <v>1096</v>
      </c>
      <c r="F59" s="116">
        <f t="shared" si="8"/>
        <v>0.003780989576171208</v>
      </c>
      <c r="G59" s="6">
        <v>648</v>
      </c>
      <c r="H59" s="44"/>
      <c r="I59" s="38">
        <f t="shared" si="9"/>
        <v>59.12408759124088</v>
      </c>
      <c r="J59" s="37">
        <f t="shared" si="10"/>
        <v>0.0025718139005901555</v>
      </c>
      <c r="K59" s="90"/>
    </row>
    <row r="60" spans="1:11" ht="12.75">
      <c r="A60" s="165"/>
      <c r="B60" s="152"/>
      <c r="C60" s="4" t="s">
        <v>98</v>
      </c>
      <c r="D60" s="4" t="s">
        <v>85</v>
      </c>
      <c r="E60" s="6">
        <v>39000</v>
      </c>
      <c r="F60" s="116">
        <f t="shared" si="8"/>
        <v>0.1345425122907638</v>
      </c>
      <c r="G60" s="6">
        <v>21000</v>
      </c>
      <c r="H60" s="44"/>
      <c r="I60" s="38">
        <f t="shared" si="9"/>
        <v>53.84615384615385</v>
      </c>
      <c r="J60" s="37">
        <f t="shared" si="10"/>
        <v>0.08334582085245874</v>
      </c>
      <c r="K60" s="90"/>
    </row>
    <row r="61" spans="1:11" ht="15.75" customHeight="1">
      <c r="A61" s="165"/>
      <c r="B61" s="152"/>
      <c r="C61" s="4" t="s">
        <v>99</v>
      </c>
      <c r="D61" s="4" t="s">
        <v>100</v>
      </c>
      <c r="E61" s="6">
        <f>E62+E63</f>
        <v>60000</v>
      </c>
      <c r="F61" s="116">
        <f t="shared" si="8"/>
        <v>0.20698848044732893</v>
      </c>
      <c r="G61" s="6">
        <f>G62+G63</f>
        <v>40000</v>
      </c>
      <c r="H61" s="6">
        <f>H62+H63</f>
        <v>0</v>
      </c>
      <c r="I61" s="38">
        <f t="shared" si="9"/>
        <v>66.66666666666666</v>
      </c>
      <c r="J61" s="37">
        <f t="shared" si="10"/>
        <v>0.1587539444808738</v>
      </c>
      <c r="K61" s="90"/>
    </row>
    <row r="62" spans="1:11" ht="15.75" customHeight="1">
      <c r="A62" s="165"/>
      <c r="B62" s="152"/>
      <c r="C62" s="4"/>
      <c r="D62" s="4" t="s">
        <v>255</v>
      </c>
      <c r="E62" s="6">
        <v>60000</v>
      </c>
      <c r="F62" s="116">
        <f t="shared" si="8"/>
        <v>0.20698848044732893</v>
      </c>
      <c r="G62" s="6">
        <v>20000</v>
      </c>
      <c r="H62" s="44"/>
      <c r="I62" s="38"/>
      <c r="J62" s="37">
        <f t="shared" si="10"/>
        <v>0.0793769722404369</v>
      </c>
      <c r="K62" s="90"/>
    </row>
    <row r="63" spans="1:11" ht="15.75" customHeight="1">
      <c r="A63" s="165"/>
      <c r="B63" s="152"/>
      <c r="C63" s="4"/>
      <c r="D63" s="4" t="s">
        <v>275</v>
      </c>
      <c r="E63" s="6"/>
      <c r="F63" s="116">
        <f t="shared" si="8"/>
        <v>0</v>
      </c>
      <c r="G63" s="6">
        <v>20000</v>
      </c>
      <c r="H63" s="44"/>
      <c r="I63" s="38"/>
      <c r="J63" s="37">
        <f t="shared" si="10"/>
        <v>0.0793769722404369</v>
      </c>
      <c r="K63" s="90"/>
    </row>
    <row r="64" spans="1:11" ht="15.75" customHeight="1">
      <c r="A64" s="165"/>
      <c r="B64" s="152"/>
      <c r="C64" s="4" t="s">
        <v>75</v>
      </c>
      <c r="D64" s="4" t="s">
        <v>76</v>
      </c>
      <c r="E64" s="6">
        <f>E65+E66</f>
        <v>104290</v>
      </c>
      <c r="F64" s="116">
        <f t="shared" si="8"/>
        <v>0.35978047709753225</v>
      </c>
      <c r="G64" s="6">
        <f>G65+G66</f>
        <v>105500</v>
      </c>
      <c r="H64" s="6">
        <f>H65+H66</f>
        <v>0</v>
      </c>
      <c r="I64" s="38">
        <f>(G64/E64)*100</f>
        <v>101.1602262920702</v>
      </c>
      <c r="J64" s="37">
        <f t="shared" si="10"/>
        <v>0.41871352856830457</v>
      </c>
      <c r="K64" s="90"/>
    </row>
    <row r="65" spans="1:11" ht="15.75" customHeight="1">
      <c r="A65" s="165"/>
      <c r="B65" s="152"/>
      <c r="C65" s="4"/>
      <c r="D65" s="4" t="s">
        <v>255</v>
      </c>
      <c r="E65" s="6">
        <v>500</v>
      </c>
      <c r="F65" s="116">
        <f t="shared" si="8"/>
        <v>0.0017249040037277407</v>
      </c>
      <c r="G65" s="6">
        <v>500</v>
      </c>
      <c r="H65" s="44"/>
      <c r="I65" s="38"/>
      <c r="J65" s="37">
        <f t="shared" si="10"/>
        <v>0.001984424306010922</v>
      </c>
      <c r="K65" s="90"/>
    </row>
    <row r="66" spans="1:11" ht="15.75" customHeight="1">
      <c r="A66" s="165"/>
      <c r="B66" s="152"/>
      <c r="C66" s="4"/>
      <c r="D66" s="4" t="s">
        <v>275</v>
      </c>
      <c r="E66" s="6">
        <v>103790</v>
      </c>
      <c r="F66" s="116">
        <f t="shared" si="8"/>
        <v>0.3580555730938044</v>
      </c>
      <c r="G66" s="6">
        <v>105000</v>
      </c>
      <c r="H66" s="44"/>
      <c r="I66" s="38"/>
      <c r="J66" s="37">
        <f t="shared" si="10"/>
        <v>0.41672910426229365</v>
      </c>
      <c r="K66" s="90"/>
    </row>
    <row r="67" spans="1:11" ht="12.75">
      <c r="A67" s="165"/>
      <c r="B67" s="152"/>
      <c r="C67" s="4">
        <v>4280</v>
      </c>
      <c r="D67" s="4" t="s">
        <v>256</v>
      </c>
      <c r="E67" s="6">
        <v>600</v>
      </c>
      <c r="F67" s="116">
        <f t="shared" si="8"/>
        <v>0.0020698848044732893</v>
      </c>
      <c r="G67" s="6">
        <v>500</v>
      </c>
      <c r="H67" s="44"/>
      <c r="I67" s="38">
        <f>(G67/E67)*100</f>
        <v>83.33333333333334</v>
      </c>
      <c r="J67" s="37">
        <f t="shared" si="10"/>
        <v>0.001984424306010922</v>
      </c>
      <c r="K67" s="90"/>
    </row>
    <row r="68" spans="1:11" ht="12.75">
      <c r="A68" s="165"/>
      <c r="B68" s="152"/>
      <c r="C68" s="4" t="s">
        <v>77</v>
      </c>
      <c r="D68" s="4" t="s">
        <v>86</v>
      </c>
      <c r="E68" s="6">
        <f>E69+E70</f>
        <v>182500</v>
      </c>
      <c r="F68" s="116">
        <f t="shared" si="8"/>
        <v>0.6295899613606254</v>
      </c>
      <c r="G68" s="6">
        <f>G69+G70</f>
        <v>195500</v>
      </c>
      <c r="H68" s="6">
        <f>H69+H70</f>
        <v>0</v>
      </c>
      <c r="I68" s="38">
        <f>(G68/E68)*100</f>
        <v>107.12328767123287</v>
      </c>
      <c r="J68" s="37">
        <f t="shared" si="10"/>
        <v>0.7759099036502707</v>
      </c>
      <c r="K68" s="90"/>
    </row>
    <row r="69" spans="1:11" ht="12.75">
      <c r="A69" s="165"/>
      <c r="B69" s="152"/>
      <c r="C69" s="4"/>
      <c r="D69" s="4" t="s">
        <v>255</v>
      </c>
      <c r="E69" s="6">
        <v>500</v>
      </c>
      <c r="F69" s="116">
        <f t="shared" si="8"/>
        <v>0.0017249040037277407</v>
      </c>
      <c r="G69" s="6">
        <v>500</v>
      </c>
      <c r="H69" s="44"/>
      <c r="I69" s="38"/>
      <c r="J69" s="37">
        <f t="shared" si="10"/>
        <v>0.001984424306010922</v>
      </c>
      <c r="K69" s="90"/>
    </row>
    <row r="70" spans="1:11" ht="12.75">
      <c r="A70" s="165"/>
      <c r="B70" s="152"/>
      <c r="C70" s="4"/>
      <c r="D70" s="4" t="s">
        <v>275</v>
      </c>
      <c r="E70" s="6">
        <v>182000</v>
      </c>
      <c r="F70" s="116">
        <f t="shared" si="8"/>
        <v>0.6278650573568977</v>
      </c>
      <c r="G70" s="6">
        <v>195000</v>
      </c>
      <c r="H70" s="44"/>
      <c r="I70" s="38"/>
      <c r="J70" s="37">
        <f t="shared" si="10"/>
        <v>0.7739254793442596</v>
      </c>
      <c r="K70" s="90"/>
    </row>
    <row r="71" spans="1:11" ht="21" customHeight="1">
      <c r="A71" s="165"/>
      <c r="B71" s="152"/>
      <c r="C71" s="4">
        <v>4520</v>
      </c>
      <c r="D71" s="4" t="s">
        <v>101</v>
      </c>
      <c r="E71" s="6">
        <v>500</v>
      </c>
      <c r="F71" s="116">
        <f t="shared" si="8"/>
        <v>0.0017249040037277407</v>
      </c>
      <c r="G71" s="6">
        <v>500</v>
      </c>
      <c r="H71" s="44"/>
      <c r="I71" s="38">
        <f>(G71/E71)*100</f>
        <v>100</v>
      </c>
      <c r="J71" s="37">
        <f t="shared" si="10"/>
        <v>0.001984424306010922</v>
      </c>
      <c r="K71" s="90"/>
    </row>
    <row r="72" spans="1:15" ht="22.5">
      <c r="A72" s="165"/>
      <c r="B72" s="152"/>
      <c r="C72" s="46">
        <v>6057</v>
      </c>
      <c r="D72" s="4" t="s">
        <v>41</v>
      </c>
      <c r="E72" s="28">
        <v>141230</v>
      </c>
      <c r="F72" s="116">
        <f t="shared" si="8"/>
        <v>0.4872163848929377</v>
      </c>
      <c r="G72" s="133">
        <v>1000</v>
      </c>
      <c r="H72" s="26">
        <f>H73</f>
        <v>0</v>
      </c>
      <c r="I72" s="38"/>
      <c r="J72" s="37"/>
      <c r="K72" s="139"/>
      <c r="L72" s="16" t="s">
        <v>403</v>
      </c>
      <c r="O72" s="139" t="s">
        <v>396</v>
      </c>
    </row>
    <row r="73" spans="1:11" ht="12.75" customHeight="1">
      <c r="A73" s="165"/>
      <c r="B73" s="152"/>
      <c r="C73" s="74"/>
      <c r="D73" s="24" t="s">
        <v>370</v>
      </c>
      <c r="E73" s="28"/>
      <c r="F73" s="116">
        <f t="shared" si="8"/>
        <v>0</v>
      </c>
      <c r="G73" s="142"/>
      <c r="H73" s="83"/>
      <c r="I73" s="38"/>
      <c r="J73" s="37"/>
      <c r="K73" s="90"/>
    </row>
    <row r="74" spans="1:11" ht="21.75" customHeight="1">
      <c r="A74" s="165"/>
      <c r="B74" s="152"/>
      <c r="C74" s="168">
        <v>6059</v>
      </c>
      <c r="D74" s="4" t="s">
        <v>41</v>
      </c>
      <c r="E74" s="6">
        <v>100367.83</v>
      </c>
      <c r="F74" s="116">
        <f t="shared" si="8"/>
        <v>0.34624974362493055</v>
      </c>
      <c r="G74" s="41">
        <v>2000</v>
      </c>
      <c r="H74" s="30">
        <f>H75</f>
        <v>0</v>
      </c>
      <c r="I74" s="38"/>
      <c r="J74" s="37">
        <f>(G74/$G$807)*100</f>
        <v>0.007937697224043689</v>
      </c>
      <c r="K74" s="90"/>
    </row>
    <row r="75" spans="1:11" ht="16.5" customHeight="1">
      <c r="A75" s="165"/>
      <c r="B75" s="152"/>
      <c r="C75" s="167"/>
      <c r="D75" s="24" t="s">
        <v>370</v>
      </c>
      <c r="E75" s="6"/>
      <c r="F75" s="116">
        <f t="shared" si="8"/>
        <v>0</v>
      </c>
      <c r="G75" s="30"/>
      <c r="H75" s="81"/>
      <c r="I75" s="38"/>
      <c r="J75" s="37">
        <f>(G75/$G$807)*100</f>
        <v>0</v>
      </c>
      <c r="K75" s="90"/>
    </row>
    <row r="76" spans="1:11" ht="12.75">
      <c r="A76" s="176" t="s">
        <v>42</v>
      </c>
      <c r="B76" s="4"/>
      <c r="C76" s="4"/>
      <c r="D76" s="3" t="s">
        <v>12</v>
      </c>
      <c r="E76" s="5">
        <f>E83+E85</f>
        <v>88626.46</v>
      </c>
      <c r="F76" s="116">
        <f t="shared" si="8"/>
        <v>0.305744271380433</v>
      </c>
      <c r="G76" s="5">
        <f>G83+G85</f>
        <v>103000</v>
      </c>
      <c r="H76" s="5" t="e">
        <f>H83+H85</f>
        <v>#REF!</v>
      </c>
      <c r="I76" s="42">
        <f>(G76/E76)*100</f>
        <v>116.21811364235917</v>
      </c>
      <c r="J76" s="37">
        <f>(G76/$G$807)*100</f>
        <v>0.40879140703825</v>
      </c>
      <c r="K76" s="90"/>
    </row>
    <row r="77" spans="1:11" ht="12.75">
      <c r="A77" s="176"/>
      <c r="B77" s="4"/>
      <c r="C77" s="4"/>
      <c r="D77" s="8" t="s">
        <v>225</v>
      </c>
      <c r="E77" s="6">
        <f>E84+E86+E87+E88+E89+E90+E91+E93+E92</f>
        <v>77476.45999999999</v>
      </c>
      <c r="F77" s="116">
        <f t="shared" si="8"/>
        <v>0.2672789120973043</v>
      </c>
      <c r="G77" s="6">
        <f>G84+G86+G87+G88+G89+G90+G91+G93+G92</f>
        <v>98000</v>
      </c>
      <c r="H77" s="6">
        <f>H84+H86+H87+H88+H89+H90+H91+H93+H92</f>
        <v>0</v>
      </c>
      <c r="I77" s="42">
        <f>(G77/E77)*100</f>
        <v>126.49003323073875</v>
      </c>
      <c r="J77" s="37">
        <f>(G77/$G$807)*100</f>
        <v>0.3889471639781408</v>
      </c>
      <c r="K77" s="90"/>
    </row>
    <row r="78" spans="1:11" ht="12.75">
      <c r="A78" s="176"/>
      <c r="B78" s="4"/>
      <c r="C78" s="4"/>
      <c r="D78" s="8" t="s">
        <v>226</v>
      </c>
      <c r="E78" s="6">
        <f>E94+E96</f>
        <v>11150</v>
      </c>
      <c r="F78" s="116">
        <f t="shared" si="8"/>
        <v>0.03846535928312862</v>
      </c>
      <c r="G78" s="6">
        <f>G94+G96</f>
        <v>5000</v>
      </c>
      <c r="H78" s="6" t="e">
        <f>H94+#REF!+H96+#REF!</f>
        <v>#REF!</v>
      </c>
      <c r="I78" s="42">
        <f>(G78/E78)*100</f>
        <v>44.843049327354265</v>
      </c>
      <c r="J78" s="37">
        <f>(G78/$G$807)*100</f>
        <v>0.019844243060109224</v>
      </c>
      <c r="K78" s="90"/>
    </row>
    <row r="79" spans="1:11" ht="12.75">
      <c r="A79" s="176"/>
      <c r="B79" s="4"/>
      <c r="C79" s="4"/>
      <c r="D79" s="8" t="s">
        <v>327</v>
      </c>
      <c r="E79" s="6"/>
      <c r="F79" s="116">
        <f t="shared" si="8"/>
        <v>0</v>
      </c>
      <c r="G79" s="6"/>
      <c r="H79" s="6"/>
      <c r="I79" s="42"/>
      <c r="J79" s="37"/>
      <c r="K79" s="90"/>
    </row>
    <row r="80" spans="1:11" ht="9.75" customHeight="1">
      <c r="A80" s="176"/>
      <c r="B80" s="4"/>
      <c r="C80" s="4"/>
      <c r="D80" s="8" t="s">
        <v>229</v>
      </c>
      <c r="E80" s="6">
        <v>0</v>
      </c>
      <c r="F80" s="116">
        <f t="shared" si="8"/>
        <v>0</v>
      </c>
      <c r="G80" s="6">
        <v>0</v>
      </c>
      <c r="H80" s="6">
        <v>0</v>
      </c>
      <c r="I80" s="42" t="e">
        <f>(G80/E80)*100</f>
        <v>#DIV/0!</v>
      </c>
      <c r="J80" s="37">
        <f aca="true" t="shared" si="11" ref="J80:J95">(G80/$G$807)*100</f>
        <v>0</v>
      </c>
      <c r="K80" s="90"/>
    </row>
    <row r="81" spans="1:11" ht="12.75">
      <c r="A81" s="176"/>
      <c r="B81" s="4"/>
      <c r="C81" s="4"/>
      <c r="D81" s="46" t="s">
        <v>328</v>
      </c>
      <c r="E81" s="28">
        <f>E77+E78+E80</f>
        <v>88626.45999999999</v>
      </c>
      <c r="F81" s="116">
        <f t="shared" si="8"/>
        <v>0.305744271380433</v>
      </c>
      <c r="G81" s="28">
        <f>G77+G78+G80</f>
        <v>103000</v>
      </c>
      <c r="H81" s="28" t="e">
        <f>H77+H78+H80</f>
        <v>#REF!</v>
      </c>
      <c r="I81" s="42">
        <f>(G81/E81)*100</f>
        <v>116.21811364235919</v>
      </c>
      <c r="J81" s="37">
        <f t="shared" si="11"/>
        <v>0.40879140703825</v>
      </c>
      <c r="K81" s="90"/>
    </row>
    <row r="82" spans="1:11" ht="12.75">
      <c r="A82" s="176"/>
      <c r="B82" s="4"/>
      <c r="C82" s="4"/>
      <c r="D82" s="25" t="s">
        <v>247</v>
      </c>
      <c r="E82" s="6"/>
      <c r="F82" s="116">
        <f aca="true" t="shared" si="12" ref="F82:F99">(E82/$E$807)*100</f>
        <v>0</v>
      </c>
      <c r="G82" s="6"/>
      <c r="H82" s="6"/>
      <c r="I82" s="42"/>
      <c r="J82" s="37">
        <f t="shared" si="11"/>
        <v>0</v>
      </c>
      <c r="K82" s="90"/>
    </row>
    <row r="83" spans="1:11" ht="21">
      <c r="A83" s="157"/>
      <c r="B83" s="154" t="s">
        <v>102</v>
      </c>
      <c r="C83" s="4"/>
      <c r="D83" s="3" t="s">
        <v>103</v>
      </c>
      <c r="E83" s="5">
        <f>E84</f>
        <v>19564.08</v>
      </c>
      <c r="F83" s="116">
        <f t="shared" si="12"/>
        <v>0.06749231984249965</v>
      </c>
      <c r="G83" s="5">
        <f>G84</f>
        <v>25000</v>
      </c>
      <c r="H83" s="5">
        <f>H84</f>
        <v>0</v>
      </c>
      <c r="I83" s="42">
        <f>(G83/E83)*100</f>
        <v>127.78520635777404</v>
      </c>
      <c r="J83" s="37">
        <f t="shared" si="11"/>
        <v>0.0992212153005461</v>
      </c>
      <c r="K83" s="90"/>
    </row>
    <row r="84" spans="1:11" ht="15.75">
      <c r="A84" s="157"/>
      <c r="B84" s="154"/>
      <c r="C84" s="4" t="s">
        <v>77</v>
      </c>
      <c r="D84" s="4" t="s">
        <v>86</v>
      </c>
      <c r="E84" s="6">
        <v>19564.08</v>
      </c>
      <c r="F84" s="116">
        <f t="shared" si="12"/>
        <v>0.06749231984249965</v>
      </c>
      <c r="G84" s="30">
        <v>25000</v>
      </c>
      <c r="H84" s="81"/>
      <c r="I84" s="38">
        <f aca="true" t="shared" si="13" ref="I84:I92">(G84/E84)*100</f>
        <v>127.78520635777404</v>
      </c>
      <c r="J84" s="37">
        <f t="shared" si="11"/>
        <v>0.0992212153005461</v>
      </c>
      <c r="K84" s="143"/>
    </row>
    <row r="85" spans="1:11" ht="15.75" customHeight="1">
      <c r="A85" s="157"/>
      <c r="B85" s="150" t="s">
        <v>43</v>
      </c>
      <c r="C85" s="4"/>
      <c r="D85" s="3" t="s">
        <v>44</v>
      </c>
      <c r="E85" s="5">
        <f>E86+E87+E88+E89+E90+E94+E96+E91+E93+E92</f>
        <v>69062.38</v>
      </c>
      <c r="F85" s="116">
        <f t="shared" si="12"/>
        <v>0.23825195153793335</v>
      </c>
      <c r="G85" s="5">
        <f>G86+G87+G88+G89+G90+G94+G96+G91+G93+G92</f>
        <v>78000</v>
      </c>
      <c r="H85" s="5" t="e">
        <f>H86+H87+H88+H89+H90+H94+H96+H91+#REF!+H93+#REF!+H92</f>
        <v>#REF!</v>
      </c>
      <c r="I85" s="42">
        <f t="shared" si="13"/>
        <v>112.9413727126114</v>
      </c>
      <c r="J85" s="37">
        <f t="shared" si="11"/>
        <v>0.3095701917377039</v>
      </c>
      <c r="K85" s="90"/>
    </row>
    <row r="86" spans="1:11" ht="12.75">
      <c r="A86" s="157"/>
      <c r="B86" s="151"/>
      <c r="C86" s="4" t="s">
        <v>98</v>
      </c>
      <c r="D86" s="4" t="s">
        <v>105</v>
      </c>
      <c r="E86" s="6"/>
      <c r="F86" s="116">
        <f t="shared" si="12"/>
        <v>0</v>
      </c>
      <c r="G86" s="30">
        <v>1000</v>
      </c>
      <c r="H86" s="81"/>
      <c r="I86" s="38" t="e">
        <f t="shared" si="13"/>
        <v>#DIV/0!</v>
      </c>
      <c r="J86" s="37">
        <f t="shared" si="11"/>
        <v>0.003968848612021844</v>
      </c>
      <c r="K86" s="139"/>
    </row>
    <row r="87" spans="1:11" ht="12.75">
      <c r="A87" s="157"/>
      <c r="B87" s="151"/>
      <c r="C87" s="4" t="s">
        <v>99</v>
      </c>
      <c r="D87" s="4" t="s">
        <v>106</v>
      </c>
      <c r="E87" s="6">
        <v>10150</v>
      </c>
      <c r="F87" s="116">
        <f t="shared" si="12"/>
        <v>0.035015551275673136</v>
      </c>
      <c r="G87" s="30">
        <v>14100</v>
      </c>
      <c r="H87" s="81"/>
      <c r="I87" s="38">
        <f t="shared" si="13"/>
        <v>138.91625615763547</v>
      </c>
      <c r="J87" s="37">
        <f t="shared" si="11"/>
        <v>0.05596076542950801</v>
      </c>
      <c r="K87" s="90"/>
    </row>
    <row r="88" spans="1:11" ht="12.75">
      <c r="A88" s="157"/>
      <c r="B88" s="151"/>
      <c r="C88" s="4" t="s">
        <v>107</v>
      </c>
      <c r="D88" s="4" t="s">
        <v>74</v>
      </c>
      <c r="E88" s="6"/>
      <c r="F88" s="116">
        <f t="shared" si="12"/>
        <v>0</v>
      </c>
      <c r="G88" s="30">
        <v>200</v>
      </c>
      <c r="H88" s="81"/>
      <c r="I88" s="38" t="e">
        <f t="shared" si="13"/>
        <v>#DIV/0!</v>
      </c>
      <c r="J88" s="37">
        <f t="shared" si="11"/>
        <v>0.0007937697224043689</v>
      </c>
      <c r="K88" s="139"/>
    </row>
    <row r="89" spans="1:11" ht="18.75" customHeight="1">
      <c r="A89" s="157"/>
      <c r="B89" s="152"/>
      <c r="C89" s="4" t="s">
        <v>77</v>
      </c>
      <c r="D89" s="4" t="s">
        <v>307</v>
      </c>
      <c r="E89" s="6">
        <v>41962.38</v>
      </c>
      <c r="F89" s="116">
        <f t="shared" si="12"/>
        <v>0.14476215453588975</v>
      </c>
      <c r="G89" s="30">
        <v>51600</v>
      </c>
      <c r="H89" s="81"/>
      <c r="I89" s="38">
        <f t="shared" si="13"/>
        <v>122.96728641225785</v>
      </c>
      <c r="J89" s="37">
        <f t="shared" si="11"/>
        <v>0.20479258838032718</v>
      </c>
      <c r="K89" s="90"/>
    </row>
    <row r="90" spans="1:11" ht="12.75">
      <c r="A90" s="157"/>
      <c r="B90" s="152"/>
      <c r="C90" s="4" t="s">
        <v>108</v>
      </c>
      <c r="D90" s="4" t="s">
        <v>87</v>
      </c>
      <c r="E90" s="6">
        <v>2500</v>
      </c>
      <c r="F90" s="116">
        <f t="shared" si="12"/>
        <v>0.008624520018638705</v>
      </c>
      <c r="G90" s="30">
        <v>2500</v>
      </c>
      <c r="H90" s="81"/>
      <c r="I90" s="38">
        <f t="shared" si="13"/>
        <v>100</v>
      </c>
      <c r="J90" s="37">
        <f t="shared" si="11"/>
        <v>0.009922121530054612</v>
      </c>
      <c r="K90" s="90"/>
    </row>
    <row r="91" spans="1:11" ht="25.5" customHeight="1">
      <c r="A91" s="157"/>
      <c r="B91" s="152"/>
      <c r="C91" s="4">
        <v>4520</v>
      </c>
      <c r="D91" s="4" t="s">
        <v>101</v>
      </c>
      <c r="E91" s="6">
        <v>300</v>
      </c>
      <c r="F91" s="116">
        <f t="shared" si="12"/>
        <v>0.0010349424022366447</v>
      </c>
      <c r="G91" s="30">
        <v>500</v>
      </c>
      <c r="H91" s="81"/>
      <c r="I91" s="38">
        <f t="shared" si="13"/>
        <v>166.66666666666669</v>
      </c>
      <c r="J91" s="37">
        <f t="shared" si="11"/>
        <v>0.001984424306010922</v>
      </c>
      <c r="K91" s="90"/>
    </row>
    <row r="92" spans="1:11" ht="22.5">
      <c r="A92" s="157"/>
      <c r="B92" s="152"/>
      <c r="C92" s="4">
        <v>4600</v>
      </c>
      <c r="D92" s="4" t="s">
        <v>367</v>
      </c>
      <c r="E92" s="6">
        <v>3000</v>
      </c>
      <c r="F92" s="116">
        <f t="shared" si="12"/>
        <v>0.010349424022366445</v>
      </c>
      <c r="G92" s="30">
        <v>3000</v>
      </c>
      <c r="H92" s="81"/>
      <c r="I92" s="38">
        <f t="shared" si="13"/>
        <v>100</v>
      </c>
      <c r="J92" s="37">
        <f t="shared" si="11"/>
        <v>0.011906545836065534</v>
      </c>
      <c r="K92" s="90"/>
    </row>
    <row r="93" spans="1:11" ht="22.5">
      <c r="A93" s="157"/>
      <c r="B93" s="152"/>
      <c r="C93" s="4">
        <v>4610</v>
      </c>
      <c r="D93" s="4" t="s">
        <v>217</v>
      </c>
      <c r="E93" s="6"/>
      <c r="F93" s="116">
        <f t="shared" si="12"/>
        <v>0</v>
      </c>
      <c r="G93" s="30">
        <v>100</v>
      </c>
      <c r="H93" s="81"/>
      <c r="I93" s="38">
        <f>(G91/E91)*100</f>
        <v>166.66666666666669</v>
      </c>
      <c r="J93" s="37">
        <f t="shared" si="11"/>
        <v>0.00039688486120218445</v>
      </c>
      <c r="K93" s="90"/>
    </row>
    <row r="94" spans="1:11" ht="12.75">
      <c r="A94" s="157"/>
      <c r="B94" s="152"/>
      <c r="C94" s="148" t="s">
        <v>35</v>
      </c>
      <c r="D94" s="25" t="s">
        <v>45</v>
      </c>
      <c r="E94" s="26">
        <v>6150</v>
      </c>
      <c r="F94" s="116">
        <f t="shared" si="12"/>
        <v>0.021216319245851215</v>
      </c>
      <c r="G94" s="26"/>
      <c r="H94" s="26"/>
      <c r="I94" s="53" t="e">
        <f>(#REF!/#REF!)*100</f>
        <v>#REF!</v>
      </c>
      <c r="J94" s="37">
        <f t="shared" si="11"/>
        <v>0</v>
      </c>
      <c r="K94" s="90"/>
    </row>
    <row r="95" spans="1:11" ht="22.5">
      <c r="A95" s="157"/>
      <c r="B95" s="152"/>
      <c r="C95" s="153"/>
      <c r="D95" s="107" t="s">
        <v>337</v>
      </c>
      <c r="E95" s="6"/>
      <c r="F95" s="116">
        <f t="shared" si="12"/>
        <v>0</v>
      </c>
      <c r="G95" s="6"/>
      <c r="H95" s="61"/>
      <c r="I95" s="54"/>
      <c r="J95" s="37">
        <f t="shared" si="11"/>
        <v>0</v>
      </c>
      <c r="K95" s="90"/>
    </row>
    <row r="96" spans="1:11" ht="21">
      <c r="A96" s="157"/>
      <c r="B96" s="152"/>
      <c r="C96" s="148">
        <v>6060</v>
      </c>
      <c r="D96" s="25" t="s">
        <v>46</v>
      </c>
      <c r="E96" s="26">
        <v>5000</v>
      </c>
      <c r="F96" s="116">
        <f t="shared" si="12"/>
        <v>0.01724904003727741</v>
      </c>
      <c r="G96" s="26">
        <v>5000</v>
      </c>
      <c r="H96" s="26">
        <f>H97</f>
        <v>0</v>
      </c>
      <c r="I96" s="53"/>
      <c r="J96" s="37">
        <f aca="true" t="shared" si="14" ref="J96:J102">(G96/$G$807)*100</f>
        <v>0.019844243060109224</v>
      </c>
      <c r="K96" s="90"/>
    </row>
    <row r="97" spans="1:11" ht="12.75">
      <c r="A97" s="157"/>
      <c r="B97" s="170"/>
      <c r="C97" s="171"/>
      <c r="D97" s="4" t="s">
        <v>276</v>
      </c>
      <c r="E97" s="6">
        <v>5000</v>
      </c>
      <c r="F97" s="116">
        <f t="shared" si="12"/>
        <v>0.01724904003727741</v>
      </c>
      <c r="G97" s="30">
        <v>5000</v>
      </c>
      <c r="H97" s="84"/>
      <c r="I97" s="53"/>
      <c r="J97" s="37">
        <f t="shared" si="14"/>
        <v>0.019844243060109224</v>
      </c>
      <c r="K97" s="90"/>
    </row>
    <row r="98" spans="1:11" ht="15" customHeight="1">
      <c r="A98" s="176" t="s">
        <v>111</v>
      </c>
      <c r="B98" s="4"/>
      <c r="C98" s="4"/>
      <c r="D98" s="3" t="s">
        <v>13</v>
      </c>
      <c r="E98" s="5">
        <f>E101+E104</f>
        <v>72920</v>
      </c>
      <c r="F98" s="116">
        <f t="shared" si="12"/>
        <v>0.25155999990365374</v>
      </c>
      <c r="G98" s="5">
        <f>G101+G104</f>
        <v>84000</v>
      </c>
      <c r="H98" s="5">
        <f>H101+H104</f>
        <v>0</v>
      </c>
      <c r="I98" s="55"/>
      <c r="J98" s="37">
        <f t="shared" si="14"/>
        <v>0.333383283409835</v>
      </c>
      <c r="K98" s="90"/>
    </row>
    <row r="99" spans="1:11" s="16" customFormat="1" ht="12.75">
      <c r="A99" s="176"/>
      <c r="B99" s="4"/>
      <c r="C99" s="4"/>
      <c r="D99" s="8" t="s">
        <v>225</v>
      </c>
      <c r="E99" s="6">
        <f>E102+E105+E106</f>
        <v>68000</v>
      </c>
      <c r="F99" s="116">
        <f t="shared" si="12"/>
        <v>0.23458694450697276</v>
      </c>
      <c r="G99" s="6">
        <f>G102+G105+G106</f>
        <v>84000</v>
      </c>
      <c r="H99" s="6">
        <f>H102+H105+H106</f>
        <v>0</v>
      </c>
      <c r="I99" s="55"/>
      <c r="J99" s="37">
        <f t="shared" si="14"/>
        <v>0.333383283409835</v>
      </c>
      <c r="K99" s="90"/>
    </row>
    <row r="100" spans="1:11" s="16" customFormat="1" ht="12.75">
      <c r="A100" s="176"/>
      <c r="B100" s="4"/>
      <c r="C100" s="4"/>
      <c r="D100" s="8" t="s">
        <v>226</v>
      </c>
      <c r="E100" s="6">
        <f>E103</f>
        <v>4920</v>
      </c>
      <c r="F100" s="6">
        <f>F103</f>
        <v>0</v>
      </c>
      <c r="G100" s="6">
        <f>G103</f>
        <v>0</v>
      </c>
      <c r="H100" s="6"/>
      <c r="I100" s="54"/>
      <c r="J100" s="37">
        <f t="shared" si="14"/>
        <v>0</v>
      </c>
      <c r="K100" s="90"/>
    </row>
    <row r="101" spans="1:11" ht="21.75" customHeight="1">
      <c r="A101" s="161"/>
      <c r="B101" s="150" t="s">
        <v>109</v>
      </c>
      <c r="C101" s="3"/>
      <c r="D101" s="3" t="s">
        <v>14</v>
      </c>
      <c r="E101" s="5">
        <f>E102+E103</f>
        <v>69920</v>
      </c>
      <c r="F101" s="5">
        <f>F102+F103</f>
        <v>0.22423752048460632</v>
      </c>
      <c r="G101" s="5">
        <f>G102+G103</f>
        <v>80000</v>
      </c>
      <c r="H101" s="5">
        <f>H102</f>
        <v>0</v>
      </c>
      <c r="I101" s="55"/>
      <c r="J101" s="37">
        <f t="shared" si="14"/>
        <v>0.3175078889617476</v>
      </c>
      <c r="K101" s="90"/>
    </row>
    <row r="102" spans="1:11" ht="12.75">
      <c r="A102" s="161"/>
      <c r="B102" s="170"/>
      <c r="C102" s="4" t="s">
        <v>77</v>
      </c>
      <c r="D102" s="4" t="s">
        <v>86</v>
      </c>
      <c r="E102" s="6">
        <v>65000</v>
      </c>
      <c r="F102" s="116">
        <f>(E102/$E$807)*100</f>
        <v>0.22423752048460632</v>
      </c>
      <c r="G102" s="30">
        <v>80000</v>
      </c>
      <c r="H102" s="84"/>
      <c r="I102" s="54">
        <f>(G98/E98)*100</f>
        <v>115.1947339550192</v>
      </c>
      <c r="J102" s="37">
        <f t="shared" si="14"/>
        <v>0.3175078889617476</v>
      </c>
      <c r="K102" s="90"/>
    </row>
    <row r="103" spans="1:11" ht="22.5">
      <c r="A103" s="161"/>
      <c r="B103" s="129"/>
      <c r="C103" s="4">
        <v>6050</v>
      </c>
      <c r="D103" s="4" t="s">
        <v>397</v>
      </c>
      <c r="E103" s="6">
        <v>4920</v>
      </c>
      <c r="F103" s="116"/>
      <c r="G103" s="30"/>
      <c r="H103" s="84"/>
      <c r="I103" s="54"/>
      <c r="J103" s="37"/>
      <c r="K103" s="139"/>
    </row>
    <row r="104" spans="1:11" ht="22.5" customHeight="1">
      <c r="A104" s="161"/>
      <c r="B104" s="154" t="s">
        <v>15</v>
      </c>
      <c r="C104" s="4"/>
      <c r="D104" s="3" t="s">
        <v>110</v>
      </c>
      <c r="E104" s="5">
        <f>E105+E106</f>
        <v>3000</v>
      </c>
      <c r="F104" s="116">
        <f aca="true" t="shared" si="15" ref="F104:F110">(E104/$E$807)*100</f>
        <v>0.010349424022366445</v>
      </c>
      <c r="G104" s="5">
        <f>G105+G106</f>
        <v>4000</v>
      </c>
      <c r="H104" s="5">
        <f>H105+H106</f>
        <v>0</v>
      </c>
      <c r="I104" s="54">
        <f aca="true" t="shared" si="16" ref="I104:I173">(G104/E104)*100</f>
        <v>133.33333333333331</v>
      </c>
      <c r="J104" s="37">
        <f>(G104/$G$807)*100</f>
        <v>0.015875394448087377</v>
      </c>
      <c r="K104" s="90"/>
    </row>
    <row r="105" spans="1:11" ht="15" customHeight="1">
      <c r="A105" s="161"/>
      <c r="B105" s="155"/>
      <c r="C105" s="4" t="s">
        <v>99</v>
      </c>
      <c r="D105" s="4" t="s">
        <v>73</v>
      </c>
      <c r="E105" s="6">
        <v>1500</v>
      </c>
      <c r="F105" s="116">
        <f t="shared" si="15"/>
        <v>0.0051747120111832225</v>
      </c>
      <c r="G105" s="30">
        <v>2000</v>
      </c>
      <c r="H105" s="84"/>
      <c r="I105" s="54">
        <f t="shared" si="16"/>
        <v>133.33333333333331</v>
      </c>
      <c r="J105" s="37">
        <f>(G105/$G$807)*100</f>
        <v>0.007937697224043689</v>
      </c>
      <c r="K105" s="90"/>
    </row>
    <row r="106" spans="1:11" ht="21" customHeight="1">
      <c r="A106" s="161"/>
      <c r="B106" s="155"/>
      <c r="C106" s="4" t="s">
        <v>77</v>
      </c>
      <c r="D106" s="4" t="s">
        <v>86</v>
      </c>
      <c r="E106" s="6">
        <v>1500</v>
      </c>
      <c r="F106" s="116">
        <f t="shared" si="15"/>
        <v>0.0051747120111832225</v>
      </c>
      <c r="G106" s="30">
        <v>2000</v>
      </c>
      <c r="H106" s="84"/>
      <c r="I106" s="54">
        <f t="shared" si="16"/>
        <v>133.33333333333331</v>
      </c>
      <c r="J106" s="37">
        <f>(G106/$G$807)*100</f>
        <v>0.007937697224043689</v>
      </c>
      <c r="K106" s="90"/>
    </row>
    <row r="107" spans="1:11" ht="16.5" customHeight="1">
      <c r="A107" s="174" t="s">
        <v>47</v>
      </c>
      <c r="B107" s="4"/>
      <c r="C107" s="4"/>
      <c r="D107" s="3" t="s">
        <v>16</v>
      </c>
      <c r="E107" s="5">
        <f>E115+E142+E147+E179</f>
        <v>3475546.29</v>
      </c>
      <c r="F107" s="116">
        <f t="shared" si="15"/>
        <v>11.989967421524192</v>
      </c>
      <c r="G107" s="5">
        <f>G115+G142+G147+G179</f>
        <v>2898812.49</v>
      </c>
      <c r="H107" s="5" t="e">
        <f>H115+H142+H147+H179</f>
        <v>#REF!</v>
      </c>
      <c r="I107" s="54">
        <f t="shared" si="16"/>
        <v>83.40595256465424</v>
      </c>
      <c r="J107" s="37">
        <f>(G107/$G$807)*100</f>
        <v>11.504947927448088</v>
      </c>
      <c r="K107" s="90"/>
    </row>
    <row r="108" spans="1:12" s="16" customFormat="1" ht="12.75">
      <c r="A108" s="175"/>
      <c r="B108" s="4"/>
      <c r="C108" s="4"/>
      <c r="D108" s="8" t="s">
        <v>225</v>
      </c>
      <c r="E108" s="6">
        <f>E115++E142+E148+E181</f>
        <v>2634441.29</v>
      </c>
      <c r="F108" s="116">
        <f t="shared" si="15"/>
        <v>9.08831665741335</v>
      </c>
      <c r="G108" s="6">
        <f>G115++G142+G148+G181</f>
        <v>2873812.49</v>
      </c>
      <c r="H108" s="6" t="e">
        <f>H107-H110</f>
        <v>#REF!</v>
      </c>
      <c r="I108" s="54">
        <f t="shared" si="16"/>
        <v>109.08622260471783</v>
      </c>
      <c r="J108" s="37">
        <f>(G108/$G$807)*100</f>
        <v>11.405726712147542</v>
      </c>
      <c r="K108" s="90"/>
      <c r="L108" s="137"/>
    </row>
    <row r="109" spans="1:11" s="16" customFormat="1" ht="12.75">
      <c r="A109" s="175"/>
      <c r="B109" s="4"/>
      <c r="C109" s="4"/>
      <c r="D109" s="8" t="s">
        <v>385</v>
      </c>
      <c r="E109" s="6">
        <f>E190+E191</f>
        <v>28480.51</v>
      </c>
      <c r="F109" s="116">
        <f t="shared" si="15"/>
        <v>0.09825229145441591</v>
      </c>
      <c r="G109" s="6">
        <f>G190+G191</f>
        <v>0</v>
      </c>
      <c r="H109" s="6" t="e">
        <f>#REF!+#REF!+H190+H191</f>
        <v>#REF!</v>
      </c>
      <c r="I109" s="54">
        <f t="shared" si="16"/>
        <v>0</v>
      </c>
      <c r="J109" s="37"/>
      <c r="K109" s="90"/>
    </row>
    <row r="110" spans="1:11" s="16" customFormat="1" ht="12.75">
      <c r="A110" s="175"/>
      <c r="B110" s="4"/>
      <c r="C110" s="4"/>
      <c r="D110" s="8" t="s">
        <v>226</v>
      </c>
      <c r="E110" s="6">
        <f>E118+E149</f>
        <v>841105</v>
      </c>
      <c r="F110" s="116">
        <f t="shared" si="15"/>
        <v>2.901650764110843</v>
      </c>
      <c r="G110" s="6">
        <f>G118+G149</f>
        <v>25000</v>
      </c>
      <c r="H110" s="6" t="e">
        <f>H118+H149</f>
        <v>#REF!</v>
      </c>
      <c r="I110" s="54">
        <f t="shared" si="16"/>
        <v>2.9722805119455953</v>
      </c>
      <c r="J110" s="37">
        <f aca="true" t="shared" si="17" ref="J110:J143">(G110/$G$807)*100</f>
        <v>0.0992212153005461</v>
      </c>
      <c r="K110" s="90"/>
    </row>
    <row r="111" spans="1:11" s="16" customFormat="1" ht="12.75">
      <c r="A111" s="175"/>
      <c r="B111" s="4"/>
      <c r="C111" s="4"/>
      <c r="D111" s="8" t="s">
        <v>386</v>
      </c>
      <c r="E111" s="6"/>
      <c r="F111" s="116"/>
      <c r="G111" s="6"/>
      <c r="H111" s="6"/>
      <c r="I111" s="54" t="e">
        <f t="shared" si="16"/>
        <v>#DIV/0!</v>
      </c>
      <c r="J111" s="37"/>
      <c r="K111" s="90"/>
    </row>
    <row r="112" spans="1:11" s="16" customFormat="1" ht="18" customHeight="1">
      <c r="A112" s="175"/>
      <c r="B112" s="4"/>
      <c r="C112" s="4"/>
      <c r="D112" s="24" t="s">
        <v>387</v>
      </c>
      <c r="E112" s="28">
        <f>E108+E110</f>
        <v>3475546.29</v>
      </c>
      <c r="F112" s="116">
        <f>(E112/$E$807)*100</f>
        <v>11.989967421524192</v>
      </c>
      <c r="G112" s="28">
        <f>G108+G110</f>
        <v>2898812.49</v>
      </c>
      <c r="H112" s="28" t="e">
        <f>H108+H110</f>
        <v>#REF!</v>
      </c>
      <c r="I112" s="54">
        <f t="shared" si="16"/>
        <v>83.40595256465424</v>
      </c>
      <c r="J112" s="37">
        <f t="shared" si="17"/>
        <v>11.504947927448088</v>
      </c>
      <c r="K112" s="139"/>
    </row>
    <row r="113" spans="1:11" s="16" customFormat="1" ht="12.75">
      <c r="A113" s="175"/>
      <c r="B113" s="4"/>
      <c r="C113" s="4"/>
      <c r="D113" s="8" t="s">
        <v>388</v>
      </c>
      <c r="E113" s="6">
        <f>E180</f>
        <v>0</v>
      </c>
      <c r="F113" s="116">
        <f>(E113/$E$807)*100</f>
        <v>0</v>
      </c>
      <c r="G113" s="6">
        <f>G180</f>
        <v>0</v>
      </c>
      <c r="H113" s="6" t="e">
        <f>H180</f>
        <v>#REF!</v>
      </c>
      <c r="I113" s="54" t="e">
        <f t="shared" si="16"/>
        <v>#DIV/0!</v>
      </c>
      <c r="J113" s="37">
        <f t="shared" si="17"/>
        <v>0</v>
      </c>
      <c r="K113" s="139"/>
    </row>
    <row r="114" spans="1:11" s="16" customFormat="1" ht="12.75">
      <c r="A114" s="175"/>
      <c r="B114" s="4"/>
      <c r="C114" s="4"/>
      <c r="D114" s="8"/>
      <c r="E114" s="6"/>
      <c r="F114" s="6"/>
      <c r="G114" s="6"/>
      <c r="H114" s="6"/>
      <c r="I114" s="54"/>
      <c r="J114" s="37"/>
      <c r="K114" s="90"/>
    </row>
    <row r="115" spans="1:11" ht="12.75">
      <c r="A115" s="165"/>
      <c r="B115" s="154" t="s">
        <v>48</v>
      </c>
      <c r="C115" s="3"/>
      <c r="D115" s="3" t="s">
        <v>49</v>
      </c>
      <c r="E115" s="5">
        <f>E119+E122+E125+E128+E131+E133+E136+E139</f>
        <v>139081.19</v>
      </c>
      <c r="F115" s="116">
        <f aca="true" t="shared" si="18" ref="F115:F146">(E115/$E$807)*100</f>
        <v>0.47980340294843726</v>
      </c>
      <c r="G115" s="5">
        <f>G119+G122+G125+G128+G131+G133+G136+G139</f>
        <v>162170.49000000002</v>
      </c>
      <c r="H115" s="5">
        <f>H119+H122+H125+H128+H131+H133+H136+H139</f>
        <v>0</v>
      </c>
      <c r="I115" s="54">
        <f t="shared" si="16"/>
        <v>116.60131035692174</v>
      </c>
      <c r="J115" s="37">
        <f t="shared" si="17"/>
        <v>0.6436301241474025</v>
      </c>
      <c r="K115" s="90"/>
    </row>
    <row r="116" spans="1:11" ht="12.75">
      <c r="A116" s="165"/>
      <c r="B116" s="155"/>
      <c r="C116" s="8"/>
      <c r="D116" s="130" t="s">
        <v>112</v>
      </c>
      <c r="E116" s="5">
        <v>62103</v>
      </c>
      <c r="F116" s="116">
        <f t="shared" si="18"/>
        <v>0.2142434266870078</v>
      </c>
      <c r="G116" s="6">
        <f>G121+G124+G127+G130+G141+G138+G135</f>
        <v>34804</v>
      </c>
      <c r="H116" s="61"/>
      <c r="I116" s="54"/>
      <c r="J116" s="37">
        <f t="shared" si="17"/>
        <v>0.13813180709280828</v>
      </c>
      <c r="K116" s="90"/>
    </row>
    <row r="117" spans="1:11" ht="12.75">
      <c r="A117" s="165"/>
      <c r="B117" s="155"/>
      <c r="C117" s="8"/>
      <c r="D117" s="8" t="s">
        <v>113</v>
      </c>
      <c r="E117" s="6">
        <f>E115-E116</f>
        <v>76978.19</v>
      </c>
      <c r="F117" s="116">
        <f t="shared" si="18"/>
        <v>0.26555997626142946</v>
      </c>
      <c r="G117" s="6">
        <f>G120+G123+G126+G129+G132+G134+G137+G140</f>
        <v>109708.39000000001</v>
      </c>
      <c r="H117" s="44"/>
      <c r="I117" s="54"/>
      <c r="J117" s="37">
        <f t="shared" si="17"/>
        <v>0.4354159913786512</v>
      </c>
      <c r="K117" s="90"/>
    </row>
    <row r="118" spans="1:11" ht="12.75">
      <c r="A118" s="165"/>
      <c r="B118" s="155"/>
      <c r="C118" s="8"/>
      <c r="D118" s="8" t="s">
        <v>226</v>
      </c>
      <c r="E118" s="6">
        <v>0</v>
      </c>
      <c r="F118" s="116">
        <f t="shared" si="18"/>
        <v>0</v>
      </c>
      <c r="G118" s="6">
        <v>0</v>
      </c>
      <c r="H118" s="61"/>
      <c r="I118" s="54"/>
      <c r="J118" s="37">
        <f t="shared" si="17"/>
        <v>0</v>
      </c>
      <c r="K118" s="90"/>
    </row>
    <row r="119" spans="1:11" ht="12.75">
      <c r="A119" s="165"/>
      <c r="B119" s="155"/>
      <c r="C119" s="25">
        <v>4010</v>
      </c>
      <c r="D119" s="8" t="s">
        <v>93</v>
      </c>
      <c r="E119" s="6">
        <v>100651.19</v>
      </c>
      <c r="F119" s="116">
        <f t="shared" si="18"/>
        <v>0.34722728122192315</v>
      </c>
      <c r="G119" s="6">
        <f>G120+G121</f>
        <v>121253.5</v>
      </c>
      <c r="H119" s="6">
        <f>H120+H121</f>
        <v>0</v>
      </c>
      <c r="I119" s="54">
        <f t="shared" si="16"/>
        <v>120.46901780296884</v>
      </c>
      <c r="J119" s="37">
        <f t="shared" si="17"/>
        <v>0.4812367851777907</v>
      </c>
      <c r="K119" s="90"/>
    </row>
    <row r="120" spans="1:11" ht="22.5">
      <c r="A120" s="165"/>
      <c r="B120" s="155"/>
      <c r="C120" s="4" t="s">
        <v>234</v>
      </c>
      <c r="D120" s="4" t="s">
        <v>93</v>
      </c>
      <c r="E120" s="6"/>
      <c r="F120" s="116">
        <f t="shared" si="18"/>
        <v>0</v>
      </c>
      <c r="G120" s="30">
        <v>92209.02</v>
      </c>
      <c r="H120" s="84"/>
      <c r="I120" s="54"/>
      <c r="J120" s="37">
        <f t="shared" si="17"/>
        <v>0.3659636410428945</v>
      </c>
      <c r="K120" s="90"/>
    </row>
    <row r="121" spans="1:11" ht="12.75">
      <c r="A121" s="165"/>
      <c r="B121" s="155"/>
      <c r="C121" s="4" t="s">
        <v>231</v>
      </c>
      <c r="D121" s="4" t="s">
        <v>93</v>
      </c>
      <c r="E121" s="6"/>
      <c r="F121" s="116">
        <f t="shared" si="18"/>
        <v>0</v>
      </c>
      <c r="G121" s="30">
        <v>29044.48</v>
      </c>
      <c r="H121" s="84"/>
      <c r="I121" s="54"/>
      <c r="J121" s="37">
        <f t="shared" si="17"/>
        <v>0.11527314413489623</v>
      </c>
      <c r="K121" s="90"/>
    </row>
    <row r="122" spans="1:11" ht="12.75">
      <c r="A122" s="165"/>
      <c r="B122" s="155"/>
      <c r="C122" s="25">
        <v>4040</v>
      </c>
      <c r="D122" s="4" t="s">
        <v>95</v>
      </c>
      <c r="E122" s="6">
        <v>7900</v>
      </c>
      <c r="F122" s="116">
        <f t="shared" si="18"/>
        <v>0.027253483258898308</v>
      </c>
      <c r="G122" s="6">
        <v>8658.1</v>
      </c>
      <c r="H122" s="61"/>
      <c r="I122" s="54">
        <f t="shared" si="16"/>
        <v>109.59620253164557</v>
      </c>
      <c r="J122" s="37">
        <f t="shared" si="17"/>
        <v>0.03436268816774633</v>
      </c>
      <c r="K122" s="90"/>
    </row>
    <row r="123" spans="1:11" ht="22.5" hidden="1">
      <c r="A123" s="165"/>
      <c r="B123" s="155"/>
      <c r="C123" s="4" t="s">
        <v>252</v>
      </c>
      <c r="D123" s="4" t="s">
        <v>95</v>
      </c>
      <c r="E123" s="6"/>
      <c r="F123" s="116">
        <f t="shared" si="18"/>
        <v>0</v>
      </c>
      <c r="G123" s="30"/>
      <c r="H123" s="84"/>
      <c r="I123" s="54" t="e">
        <f t="shared" si="16"/>
        <v>#DIV/0!</v>
      </c>
      <c r="J123" s="37">
        <f t="shared" si="17"/>
        <v>0</v>
      </c>
      <c r="K123" s="90"/>
    </row>
    <row r="124" spans="1:11" ht="12.75" hidden="1">
      <c r="A124" s="165"/>
      <c r="B124" s="155"/>
      <c r="C124" s="4" t="s">
        <v>251</v>
      </c>
      <c r="D124" s="4" t="s">
        <v>95</v>
      </c>
      <c r="E124" s="6"/>
      <c r="F124" s="116">
        <f t="shared" si="18"/>
        <v>0</v>
      </c>
      <c r="G124" s="30"/>
      <c r="H124" s="84"/>
      <c r="I124" s="54" t="e">
        <f t="shared" si="16"/>
        <v>#DIV/0!</v>
      </c>
      <c r="J124" s="37">
        <f t="shared" si="17"/>
        <v>0</v>
      </c>
      <c r="K124" s="90"/>
    </row>
    <row r="125" spans="1:11" ht="12.75">
      <c r="A125" s="165"/>
      <c r="B125" s="155"/>
      <c r="C125" s="25">
        <v>4110</v>
      </c>
      <c r="D125" s="4" t="s">
        <v>409</v>
      </c>
      <c r="E125" s="6">
        <v>18500</v>
      </c>
      <c r="F125" s="116">
        <f t="shared" si="18"/>
        <v>0.06382144813792641</v>
      </c>
      <c r="G125" s="6">
        <f>G126+G127</f>
        <v>20357.45</v>
      </c>
      <c r="H125" s="6">
        <f>H126+H127</f>
        <v>0</v>
      </c>
      <c r="I125" s="54">
        <f t="shared" si="16"/>
        <v>110.04027027027028</v>
      </c>
      <c r="J125" s="37">
        <f t="shared" si="17"/>
        <v>0.0807956371768041</v>
      </c>
      <c r="K125" s="90"/>
    </row>
    <row r="126" spans="1:11" ht="22.5">
      <c r="A126" s="165"/>
      <c r="B126" s="155"/>
      <c r="C126" s="4" t="s">
        <v>235</v>
      </c>
      <c r="D126" s="4" t="s">
        <v>114</v>
      </c>
      <c r="E126" s="6"/>
      <c r="F126" s="116">
        <f t="shared" si="18"/>
        <v>0</v>
      </c>
      <c r="G126" s="30">
        <v>15309.52</v>
      </c>
      <c r="H126" s="84"/>
      <c r="I126" s="54"/>
      <c r="J126" s="37">
        <f t="shared" si="17"/>
        <v>0.06076116720272068</v>
      </c>
      <c r="K126" s="90"/>
    </row>
    <row r="127" spans="1:11" ht="12.75">
      <c r="A127" s="165"/>
      <c r="B127" s="155"/>
      <c r="C127" s="4" t="s">
        <v>232</v>
      </c>
      <c r="D127" s="4" t="s">
        <v>114</v>
      </c>
      <c r="E127" s="6"/>
      <c r="F127" s="116">
        <f t="shared" si="18"/>
        <v>0</v>
      </c>
      <c r="G127" s="30">
        <v>5047.93</v>
      </c>
      <c r="H127" s="84"/>
      <c r="I127" s="54"/>
      <c r="J127" s="37">
        <f t="shared" si="17"/>
        <v>0.02003446997408343</v>
      </c>
      <c r="K127" s="90"/>
    </row>
    <row r="128" spans="1:11" ht="12.75">
      <c r="A128" s="165"/>
      <c r="B128" s="155"/>
      <c r="C128" s="25">
        <v>4120</v>
      </c>
      <c r="D128" s="4" t="s">
        <v>411</v>
      </c>
      <c r="E128" s="6">
        <v>2530</v>
      </c>
      <c r="F128" s="116">
        <f t="shared" si="18"/>
        <v>0.00872801425886237</v>
      </c>
      <c r="G128" s="6">
        <f>G129+G130</f>
        <v>2901.44</v>
      </c>
      <c r="H128" s="6"/>
      <c r="I128" s="54">
        <f t="shared" si="16"/>
        <v>114.68142292490117</v>
      </c>
      <c r="J128" s="37">
        <f t="shared" si="17"/>
        <v>0.011515376116864661</v>
      </c>
      <c r="K128" s="90"/>
    </row>
    <row r="129" spans="1:11" ht="22.5">
      <c r="A129" s="165"/>
      <c r="B129" s="155"/>
      <c r="C129" s="4" t="s">
        <v>236</v>
      </c>
      <c r="D129" s="4" t="s">
        <v>104</v>
      </c>
      <c r="E129" s="6"/>
      <c r="F129" s="116">
        <f t="shared" si="18"/>
        <v>0</v>
      </c>
      <c r="G129" s="30">
        <v>2189.85</v>
      </c>
      <c r="H129" s="84"/>
      <c r="I129" s="54"/>
      <c r="J129" s="37">
        <f t="shared" si="17"/>
        <v>0.008691183133036035</v>
      </c>
      <c r="K129" s="90"/>
    </row>
    <row r="130" spans="1:11" ht="12.75">
      <c r="A130" s="165"/>
      <c r="B130" s="155"/>
      <c r="C130" s="4" t="s">
        <v>233</v>
      </c>
      <c r="D130" s="4" t="s">
        <v>104</v>
      </c>
      <c r="E130" s="6"/>
      <c r="F130" s="116">
        <f t="shared" si="18"/>
        <v>0</v>
      </c>
      <c r="G130" s="30">
        <v>711.59</v>
      </c>
      <c r="H130" s="84"/>
      <c r="I130" s="54"/>
      <c r="J130" s="37">
        <f t="shared" si="17"/>
        <v>0.0028241929838286246</v>
      </c>
      <c r="K130" s="90"/>
    </row>
    <row r="131" spans="1:11" ht="12.75" hidden="1">
      <c r="A131" s="165"/>
      <c r="B131" s="155"/>
      <c r="C131" s="25">
        <v>4170</v>
      </c>
      <c r="D131" s="4"/>
      <c r="E131" s="6"/>
      <c r="F131" s="116">
        <f t="shared" si="18"/>
        <v>0</v>
      </c>
      <c r="G131" s="30"/>
      <c r="H131" s="84"/>
      <c r="I131" s="54" t="e">
        <f t="shared" si="16"/>
        <v>#DIV/0!</v>
      </c>
      <c r="J131" s="37">
        <f t="shared" si="17"/>
        <v>0</v>
      </c>
      <c r="K131" s="90"/>
    </row>
    <row r="132" spans="1:11" ht="12.75" customHeight="1" hidden="1">
      <c r="A132" s="165"/>
      <c r="B132" s="155"/>
      <c r="C132" s="4" t="s">
        <v>263</v>
      </c>
      <c r="D132" s="4" t="s">
        <v>143</v>
      </c>
      <c r="E132" s="6"/>
      <c r="F132" s="116">
        <f t="shared" si="18"/>
        <v>0</v>
      </c>
      <c r="G132" s="30"/>
      <c r="H132" s="84"/>
      <c r="I132" s="54" t="e">
        <f t="shared" si="16"/>
        <v>#DIV/0!</v>
      </c>
      <c r="J132" s="37">
        <f t="shared" si="17"/>
        <v>0</v>
      </c>
      <c r="K132" s="90"/>
    </row>
    <row r="133" spans="1:11" ht="12.75">
      <c r="A133" s="165"/>
      <c r="B133" s="155"/>
      <c r="C133" s="25">
        <v>4210</v>
      </c>
      <c r="D133" s="4" t="s">
        <v>73</v>
      </c>
      <c r="E133" s="6">
        <v>3500</v>
      </c>
      <c r="F133" s="116">
        <f t="shared" si="18"/>
        <v>0.012074328026094186</v>
      </c>
      <c r="G133" s="6">
        <v>3000</v>
      </c>
      <c r="H133" s="6">
        <f>H134+H135</f>
        <v>0</v>
      </c>
      <c r="I133" s="54">
        <f t="shared" si="16"/>
        <v>85.71428571428571</v>
      </c>
      <c r="J133" s="37">
        <f t="shared" si="17"/>
        <v>0.011906545836065534</v>
      </c>
      <c r="K133" s="90"/>
    </row>
    <row r="134" spans="1:11" ht="13.5" customHeight="1" hidden="1">
      <c r="A134" s="165"/>
      <c r="B134" s="155"/>
      <c r="C134" s="4" t="s">
        <v>264</v>
      </c>
      <c r="D134" s="4" t="s">
        <v>73</v>
      </c>
      <c r="E134" s="6"/>
      <c r="F134" s="116">
        <f t="shared" si="18"/>
        <v>0</v>
      </c>
      <c r="G134" s="30"/>
      <c r="H134" s="84"/>
      <c r="I134" s="54" t="e">
        <f t="shared" si="16"/>
        <v>#DIV/0!</v>
      </c>
      <c r="J134" s="37">
        <f t="shared" si="17"/>
        <v>0</v>
      </c>
      <c r="K134" s="90"/>
    </row>
    <row r="135" spans="1:11" ht="12.75" hidden="1">
      <c r="A135" s="165"/>
      <c r="B135" s="155"/>
      <c r="C135" s="4" t="s">
        <v>265</v>
      </c>
      <c r="D135" s="4"/>
      <c r="E135" s="6"/>
      <c r="F135" s="116">
        <f t="shared" si="18"/>
        <v>0</v>
      </c>
      <c r="G135" s="30"/>
      <c r="H135" s="84"/>
      <c r="I135" s="54" t="e">
        <f t="shared" si="16"/>
        <v>#DIV/0!</v>
      </c>
      <c r="J135" s="37">
        <f t="shared" si="17"/>
        <v>0</v>
      </c>
      <c r="K135" s="90"/>
    </row>
    <row r="136" spans="1:11" ht="12.75">
      <c r="A136" s="165"/>
      <c r="B136" s="155"/>
      <c r="C136" s="25">
        <v>4300</v>
      </c>
      <c r="D136" s="4" t="s">
        <v>86</v>
      </c>
      <c r="E136" s="6">
        <v>3000</v>
      </c>
      <c r="F136" s="116">
        <f t="shared" si="18"/>
        <v>0.010349424022366445</v>
      </c>
      <c r="G136" s="6">
        <v>3000</v>
      </c>
      <c r="H136" s="6">
        <f>H137+H138</f>
        <v>0</v>
      </c>
      <c r="I136" s="54">
        <f t="shared" si="16"/>
        <v>100</v>
      </c>
      <c r="J136" s="37">
        <f t="shared" si="17"/>
        <v>0.011906545836065534</v>
      </c>
      <c r="K136" s="90"/>
    </row>
    <row r="137" spans="1:11" ht="14.25" customHeight="1" hidden="1">
      <c r="A137" s="165"/>
      <c r="B137" s="155"/>
      <c r="C137" s="4" t="s">
        <v>266</v>
      </c>
      <c r="D137" s="4" t="s">
        <v>86</v>
      </c>
      <c r="E137" s="6"/>
      <c r="F137" s="116">
        <f t="shared" si="18"/>
        <v>0</v>
      </c>
      <c r="G137" s="30"/>
      <c r="H137" s="84"/>
      <c r="I137" s="54" t="e">
        <f t="shared" si="16"/>
        <v>#DIV/0!</v>
      </c>
      <c r="J137" s="37">
        <f t="shared" si="17"/>
        <v>0</v>
      </c>
      <c r="K137" s="90"/>
    </row>
    <row r="138" spans="1:11" ht="12.75" hidden="1">
      <c r="A138" s="165"/>
      <c r="B138" s="155"/>
      <c r="C138" s="4" t="s">
        <v>267</v>
      </c>
      <c r="D138" s="4"/>
      <c r="E138" s="6"/>
      <c r="F138" s="116">
        <f t="shared" si="18"/>
        <v>0</v>
      </c>
      <c r="G138" s="30"/>
      <c r="H138" s="84"/>
      <c r="I138" s="54" t="e">
        <f t="shared" si="16"/>
        <v>#DIV/0!</v>
      </c>
      <c r="J138" s="37">
        <f t="shared" si="17"/>
        <v>0</v>
      </c>
      <c r="K138" s="90"/>
    </row>
    <row r="139" spans="1:11" ht="22.5">
      <c r="A139" s="165"/>
      <c r="B139" s="155"/>
      <c r="C139" s="25">
        <v>4440</v>
      </c>
      <c r="D139" s="4" t="s">
        <v>116</v>
      </c>
      <c r="E139" s="6">
        <v>3000</v>
      </c>
      <c r="F139" s="116">
        <f t="shared" si="18"/>
        <v>0.010349424022366445</v>
      </c>
      <c r="G139" s="6">
        <v>3000</v>
      </c>
      <c r="H139" s="6">
        <f>H140+H141</f>
        <v>0</v>
      </c>
      <c r="I139" s="54">
        <f t="shared" si="16"/>
        <v>100</v>
      </c>
      <c r="J139" s="37">
        <f t="shared" si="17"/>
        <v>0.011906545836065534</v>
      </c>
      <c r="K139" s="90"/>
    </row>
    <row r="140" spans="1:11" ht="12.75" customHeight="1" hidden="1">
      <c r="A140" s="165"/>
      <c r="B140" s="155"/>
      <c r="C140" s="4" t="s">
        <v>253</v>
      </c>
      <c r="D140" s="4" t="s">
        <v>116</v>
      </c>
      <c r="E140" s="6"/>
      <c r="F140" s="116">
        <f t="shared" si="18"/>
        <v>0</v>
      </c>
      <c r="G140" s="30"/>
      <c r="H140" s="84"/>
      <c r="I140" s="54" t="e">
        <f t="shared" si="16"/>
        <v>#DIV/0!</v>
      </c>
      <c r="J140" s="37">
        <f t="shared" si="17"/>
        <v>0</v>
      </c>
      <c r="K140" s="90"/>
    </row>
    <row r="141" spans="1:11" ht="22.5" hidden="1">
      <c r="A141" s="165"/>
      <c r="B141" s="155"/>
      <c r="C141" s="4" t="s">
        <v>254</v>
      </c>
      <c r="D141" s="4" t="s">
        <v>116</v>
      </c>
      <c r="E141" s="6"/>
      <c r="F141" s="116">
        <f t="shared" si="18"/>
        <v>0</v>
      </c>
      <c r="G141" s="30"/>
      <c r="H141" s="84"/>
      <c r="I141" s="54" t="e">
        <f t="shared" si="16"/>
        <v>#DIV/0!</v>
      </c>
      <c r="J141" s="37">
        <f t="shared" si="17"/>
        <v>0</v>
      </c>
      <c r="K141" s="90"/>
    </row>
    <row r="142" spans="1:11" ht="12.75">
      <c r="A142" s="165"/>
      <c r="B142" s="177" t="s">
        <v>117</v>
      </c>
      <c r="C142" s="3"/>
      <c r="D142" s="3" t="s">
        <v>118</v>
      </c>
      <c r="E142" s="5">
        <f>E144+E145+E146</f>
        <v>61500</v>
      </c>
      <c r="F142" s="116">
        <f t="shared" si="18"/>
        <v>0.21216319245851212</v>
      </c>
      <c r="G142" s="5">
        <f>G144+G145+G146</f>
        <v>63500</v>
      </c>
      <c r="H142" s="5" t="e">
        <f>H144+H145+H146+#REF!+#REF!</f>
        <v>#REF!</v>
      </c>
      <c r="I142" s="54">
        <f t="shared" si="16"/>
        <v>103.2520325203252</v>
      </c>
      <c r="J142" s="37">
        <f t="shared" si="17"/>
        <v>0.2520218868633871</v>
      </c>
      <c r="K142" s="90"/>
    </row>
    <row r="143" spans="1:11" s="19" customFormat="1" ht="12.75">
      <c r="A143" s="165"/>
      <c r="B143" s="178"/>
      <c r="C143" s="8"/>
      <c r="D143" s="8" t="s">
        <v>225</v>
      </c>
      <c r="E143" s="11">
        <f>E144+E145+E146</f>
        <v>61500</v>
      </c>
      <c r="F143" s="116">
        <f t="shared" si="18"/>
        <v>0.21216319245851212</v>
      </c>
      <c r="G143" s="11">
        <f>G144+G145+G146</f>
        <v>63500</v>
      </c>
      <c r="H143" s="11" t="e">
        <f>H144+H145+H146+#REF!+#REF!</f>
        <v>#REF!</v>
      </c>
      <c r="I143" s="54">
        <f t="shared" si="16"/>
        <v>103.2520325203252</v>
      </c>
      <c r="J143" s="37">
        <f t="shared" si="17"/>
        <v>0.2520218868633871</v>
      </c>
      <c r="K143" s="92"/>
    </row>
    <row r="144" spans="1:11" ht="12.75">
      <c r="A144" s="165"/>
      <c r="B144" s="179"/>
      <c r="C144" s="4" t="s">
        <v>119</v>
      </c>
      <c r="D144" s="4" t="s">
        <v>120</v>
      </c>
      <c r="E144" s="6">
        <v>45000</v>
      </c>
      <c r="F144" s="116">
        <f t="shared" si="18"/>
        <v>0.15524136033549668</v>
      </c>
      <c r="G144" s="30">
        <v>46000</v>
      </c>
      <c r="H144" s="84"/>
      <c r="I144" s="54">
        <f t="shared" si="16"/>
        <v>102.22222222222221</v>
      </c>
      <c r="J144" s="37">
        <f aca="true" t="shared" si="19" ref="J144:J171">(G144/$G$807)*100</f>
        <v>0.18256703615300485</v>
      </c>
      <c r="K144" s="139"/>
    </row>
    <row r="145" spans="1:11" ht="12.75">
      <c r="A145" s="165"/>
      <c r="B145" s="179"/>
      <c r="C145" s="4" t="s">
        <v>99</v>
      </c>
      <c r="D145" s="4" t="s">
        <v>73</v>
      </c>
      <c r="E145" s="6">
        <v>8500</v>
      </c>
      <c r="F145" s="116">
        <f t="shared" si="18"/>
        <v>0.029323368063371595</v>
      </c>
      <c r="G145" s="30">
        <v>9000</v>
      </c>
      <c r="H145" s="84"/>
      <c r="I145" s="54">
        <f t="shared" si="16"/>
        <v>105.88235294117648</v>
      </c>
      <c r="J145" s="37">
        <f t="shared" si="19"/>
        <v>0.0357196375081966</v>
      </c>
      <c r="K145" s="90"/>
    </row>
    <row r="146" spans="1:11" ht="12.75">
      <c r="A146" s="165"/>
      <c r="B146" s="179"/>
      <c r="C146" s="4" t="s">
        <v>77</v>
      </c>
      <c r="D146" s="4" t="s">
        <v>86</v>
      </c>
      <c r="E146" s="6">
        <v>8000</v>
      </c>
      <c r="F146" s="116">
        <f t="shared" si="18"/>
        <v>0.027598464059643852</v>
      </c>
      <c r="G146" s="30">
        <v>8500</v>
      </c>
      <c r="H146" s="84"/>
      <c r="I146" s="54">
        <f t="shared" si="16"/>
        <v>106.25</v>
      </c>
      <c r="J146" s="37">
        <f t="shared" si="19"/>
        <v>0.03373521320218568</v>
      </c>
      <c r="K146" s="90"/>
    </row>
    <row r="147" spans="1:11" ht="12.75">
      <c r="A147" s="165"/>
      <c r="B147" s="150" t="s">
        <v>50</v>
      </c>
      <c r="C147" s="3"/>
      <c r="D147" s="3" t="s">
        <v>51</v>
      </c>
      <c r="E147" s="5">
        <f>SUM(E150:E178)-E174</f>
        <v>3094688.0900000003</v>
      </c>
      <c r="F147" s="116">
        <f aca="true" t="shared" si="20" ref="F147:F171">(E147/$E$807)*100</f>
        <v>10.676079753459113</v>
      </c>
      <c r="G147" s="5">
        <f>SUM(G150:G178)</f>
        <v>2512342</v>
      </c>
      <c r="H147" s="5" t="e">
        <f>SUM(H150:H173)+H174</f>
        <v>#REF!</v>
      </c>
      <c r="I147" s="54">
        <f t="shared" si="16"/>
        <v>81.18239793271056</v>
      </c>
      <c r="J147" s="37">
        <f t="shared" si="19"/>
        <v>9.971105059624184</v>
      </c>
      <c r="K147" s="90"/>
    </row>
    <row r="148" spans="1:11" s="19" customFormat="1" ht="14.25" customHeight="1">
      <c r="A148" s="165"/>
      <c r="B148" s="172"/>
      <c r="C148" s="8"/>
      <c r="D148" s="24" t="s">
        <v>225</v>
      </c>
      <c r="E148" s="11">
        <f>E150+E151+E152+E153+E154+E155+E156+E157+E158+E159+E160+E161+E162+E163+E164+E165+E166+E167+E168+E169+E171+E173+E170+E172</f>
        <v>2253583.0900000003</v>
      </c>
      <c r="F148" s="116">
        <f t="shared" si="20"/>
        <v>7.7744289893482685</v>
      </c>
      <c r="G148" s="11">
        <f>G150+G151+G152+G153+G154+G155+G156+G157+G158+G159+G160+G161+G162+G163+G164+G165+G166+G167+G168+G169+G171+G173+G170+G172</f>
        <v>2487342</v>
      </c>
      <c r="H148" s="11" t="e">
        <f>H150+H151+H152+H153+H154+H155+H156+H157+H158+H159+H160+H161+H162+H163+H164+H165+H166+H168+H169+H171+H173+#REF!+#REF!</f>
        <v>#REF!</v>
      </c>
      <c r="I148" s="54">
        <f t="shared" si="16"/>
        <v>110.3727664197196</v>
      </c>
      <c r="J148" s="37">
        <f t="shared" si="19"/>
        <v>9.871883844323639</v>
      </c>
      <c r="K148" s="92"/>
    </row>
    <row r="149" spans="1:11" s="19" customFormat="1" ht="12.75">
      <c r="A149" s="165"/>
      <c r="B149" s="172"/>
      <c r="C149" s="8"/>
      <c r="D149" s="8" t="s">
        <v>237</v>
      </c>
      <c r="E149" s="11">
        <f>E174+E177+E178</f>
        <v>841105</v>
      </c>
      <c r="F149" s="116">
        <f t="shared" si="20"/>
        <v>2.901650764110843</v>
      </c>
      <c r="G149" s="11">
        <f>G174+G177+G178</f>
        <v>25000</v>
      </c>
      <c r="H149" s="11" t="e">
        <f>H174</f>
        <v>#REF!</v>
      </c>
      <c r="I149" s="54"/>
      <c r="J149" s="37">
        <f t="shared" si="19"/>
        <v>0.0992212153005461</v>
      </c>
      <c r="K149" s="92">
        <f>E148+E149</f>
        <v>3094688.0900000003</v>
      </c>
    </row>
    <row r="150" spans="1:11" ht="12.75">
      <c r="A150" s="165"/>
      <c r="B150" s="172"/>
      <c r="C150" s="4" t="s">
        <v>90</v>
      </c>
      <c r="D150" s="4" t="s">
        <v>125</v>
      </c>
      <c r="E150" s="6">
        <v>6000</v>
      </c>
      <c r="F150" s="116">
        <f t="shared" si="20"/>
        <v>0.02069884804473289</v>
      </c>
      <c r="G150" s="30">
        <v>8664</v>
      </c>
      <c r="H150" s="84"/>
      <c r="I150" s="54">
        <f t="shared" si="16"/>
        <v>144.4</v>
      </c>
      <c r="J150" s="37">
        <f t="shared" si="19"/>
        <v>0.03438610437455726</v>
      </c>
      <c r="K150" s="90"/>
    </row>
    <row r="151" spans="1:11" ht="12.75">
      <c r="A151" s="165"/>
      <c r="B151" s="172"/>
      <c r="C151" s="4" t="s">
        <v>92</v>
      </c>
      <c r="D151" s="4" t="s">
        <v>93</v>
      </c>
      <c r="E151" s="6">
        <v>1403700</v>
      </c>
      <c r="F151" s="116">
        <f t="shared" si="20"/>
        <v>4.84249550006526</v>
      </c>
      <c r="G151" s="30">
        <v>1530000</v>
      </c>
      <c r="H151" s="84"/>
      <c r="I151" s="54">
        <f t="shared" si="16"/>
        <v>108.99764907031417</v>
      </c>
      <c r="J151" s="37">
        <f t="shared" si="19"/>
        <v>6.072338376393422</v>
      </c>
      <c r="K151" s="90"/>
    </row>
    <row r="152" spans="1:11" ht="12.75">
      <c r="A152" s="165"/>
      <c r="B152" s="172"/>
      <c r="C152" s="4" t="s">
        <v>94</v>
      </c>
      <c r="D152" s="4" t="s">
        <v>95</v>
      </c>
      <c r="E152" s="6">
        <v>99100</v>
      </c>
      <c r="F152" s="116">
        <f t="shared" si="20"/>
        <v>0.34187597353883825</v>
      </c>
      <c r="G152" s="30">
        <v>110500</v>
      </c>
      <c r="H152" s="84"/>
      <c r="I152" s="54">
        <f t="shared" si="16"/>
        <v>111.50353178607466</v>
      </c>
      <c r="J152" s="37">
        <f t="shared" si="19"/>
        <v>0.4385577716284138</v>
      </c>
      <c r="K152" s="90"/>
    </row>
    <row r="153" spans="1:11" ht="12.75">
      <c r="A153" s="165"/>
      <c r="B153" s="172"/>
      <c r="C153" s="4" t="s">
        <v>96</v>
      </c>
      <c r="D153" s="4" t="s">
        <v>83</v>
      </c>
      <c r="E153" s="6">
        <v>254000</v>
      </c>
      <c r="F153" s="116">
        <f t="shared" si="20"/>
        <v>0.8762512338936924</v>
      </c>
      <c r="G153" s="30">
        <v>282000</v>
      </c>
      <c r="H153" s="84"/>
      <c r="I153" s="54">
        <f t="shared" si="16"/>
        <v>111.0236220472441</v>
      </c>
      <c r="J153" s="37">
        <f t="shared" si="19"/>
        <v>1.1192153085901602</v>
      </c>
      <c r="K153" s="90"/>
    </row>
    <row r="154" spans="1:11" ht="12.75">
      <c r="A154" s="165"/>
      <c r="B154" s="172"/>
      <c r="C154" s="4" t="s">
        <v>97</v>
      </c>
      <c r="D154" s="4" t="s">
        <v>104</v>
      </c>
      <c r="E154" s="6">
        <v>23000</v>
      </c>
      <c r="F154" s="116">
        <f t="shared" si="20"/>
        <v>0.07934558417147608</v>
      </c>
      <c r="G154" s="30">
        <v>33000</v>
      </c>
      <c r="H154" s="84"/>
      <c r="I154" s="54">
        <f t="shared" si="16"/>
        <v>143.47826086956522</v>
      </c>
      <c r="J154" s="37">
        <f t="shared" si="19"/>
        <v>0.13097200419672086</v>
      </c>
      <c r="K154" s="90"/>
    </row>
    <row r="155" spans="1:11" ht="22.5">
      <c r="A155" s="165"/>
      <c r="B155" s="172"/>
      <c r="C155" s="4" t="s">
        <v>126</v>
      </c>
      <c r="D155" s="4" t="s">
        <v>127</v>
      </c>
      <c r="E155" s="6">
        <v>25000</v>
      </c>
      <c r="F155" s="116">
        <f t="shared" si="20"/>
        <v>0.08624520018638705</v>
      </c>
      <c r="G155" s="30">
        <v>25000</v>
      </c>
      <c r="H155" s="84"/>
      <c r="I155" s="54">
        <f t="shared" si="16"/>
        <v>100</v>
      </c>
      <c r="J155" s="37">
        <f t="shared" si="19"/>
        <v>0.0992212153005461</v>
      </c>
      <c r="K155" s="90"/>
    </row>
    <row r="156" spans="1:11" ht="12.75">
      <c r="A156" s="165"/>
      <c r="B156" s="172"/>
      <c r="C156" s="4" t="s">
        <v>98</v>
      </c>
      <c r="D156" s="4" t="s">
        <v>85</v>
      </c>
      <c r="E156" s="6">
        <v>10000</v>
      </c>
      <c r="F156" s="116">
        <f t="shared" si="20"/>
        <v>0.03449808007455482</v>
      </c>
      <c r="G156" s="30">
        <v>10000</v>
      </c>
      <c r="H156" s="84"/>
      <c r="I156" s="54">
        <f t="shared" si="16"/>
        <v>100</v>
      </c>
      <c r="J156" s="37">
        <f t="shared" si="19"/>
        <v>0.03968848612021845</v>
      </c>
      <c r="K156" s="90"/>
    </row>
    <row r="157" spans="1:11" ht="12.75">
      <c r="A157" s="165"/>
      <c r="B157" s="172"/>
      <c r="C157" s="4" t="s">
        <v>99</v>
      </c>
      <c r="D157" s="4" t="s">
        <v>73</v>
      </c>
      <c r="E157" s="6">
        <v>158855.04</v>
      </c>
      <c r="F157" s="116">
        <f t="shared" si="20"/>
        <v>0.5480193890166609</v>
      </c>
      <c r="G157" s="30">
        <v>175000</v>
      </c>
      <c r="H157" s="84"/>
      <c r="I157" s="54">
        <f t="shared" si="16"/>
        <v>110.16332878075508</v>
      </c>
      <c r="J157" s="37">
        <f t="shared" si="19"/>
        <v>0.6945485071038228</v>
      </c>
      <c r="K157" s="90"/>
    </row>
    <row r="158" spans="1:11" ht="12.75">
      <c r="A158" s="165"/>
      <c r="B158" s="172"/>
      <c r="C158" s="4" t="s">
        <v>107</v>
      </c>
      <c r="D158" s="4" t="s">
        <v>74</v>
      </c>
      <c r="E158" s="6">
        <v>23000</v>
      </c>
      <c r="F158" s="116">
        <f t="shared" si="20"/>
        <v>0.07934558417147608</v>
      </c>
      <c r="G158" s="30">
        <v>23400</v>
      </c>
      <c r="H158" s="84"/>
      <c r="I158" s="54">
        <f t="shared" si="16"/>
        <v>101.7391304347826</v>
      </c>
      <c r="J158" s="37">
        <f t="shared" si="19"/>
        <v>0.09287105752131117</v>
      </c>
      <c r="K158" s="90"/>
    </row>
    <row r="159" spans="1:11" ht="12.75">
      <c r="A159" s="165"/>
      <c r="B159" s="172"/>
      <c r="C159" s="4" t="s">
        <v>75</v>
      </c>
      <c r="D159" s="4" t="s">
        <v>76</v>
      </c>
      <c r="E159" s="6">
        <v>10000</v>
      </c>
      <c r="F159" s="116">
        <f t="shared" si="20"/>
        <v>0.03449808007455482</v>
      </c>
      <c r="G159" s="30">
        <v>30000</v>
      </c>
      <c r="H159" s="84"/>
      <c r="I159" s="54"/>
      <c r="J159" s="37">
        <f t="shared" si="19"/>
        <v>0.11906545836065532</v>
      </c>
      <c r="K159" s="90"/>
    </row>
    <row r="160" spans="1:11" ht="12.75">
      <c r="A160" s="165"/>
      <c r="B160" s="172"/>
      <c r="C160" s="4" t="s">
        <v>128</v>
      </c>
      <c r="D160" s="4" t="s">
        <v>89</v>
      </c>
      <c r="E160" s="6">
        <v>1500</v>
      </c>
      <c r="F160" s="116">
        <f t="shared" si="20"/>
        <v>0.0051747120111832225</v>
      </c>
      <c r="G160" s="30">
        <v>5250</v>
      </c>
      <c r="H160" s="84"/>
      <c r="I160" s="54">
        <f t="shared" si="16"/>
        <v>350</v>
      </c>
      <c r="J160" s="37">
        <f t="shared" si="19"/>
        <v>0.020836455213114686</v>
      </c>
      <c r="K160" s="90"/>
    </row>
    <row r="161" spans="1:11" ht="12.75">
      <c r="A161" s="165"/>
      <c r="B161" s="172"/>
      <c r="C161" s="4" t="s">
        <v>77</v>
      </c>
      <c r="D161" s="4" t="s">
        <v>86</v>
      </c>
      <c r="E161" s="6">
        <v>134025.62</v>
      </c>
      <c r="F161" s="116">
        <f t="shared" si="20"/>
        <v>0.4623626570801856</v>
      </c>
      <c r="G161" s="30">
        <v>144500</v>
      </c>
      <c r="H161" s="84"/>
      <c r="I161" s="54">
        <f t="shared" si="16"/>
        <v>107.81520727156494</v>
      </c>
      <c r="J161" s="37">
        <f t="shared" si="19"/>
        <v>0.5734986244371566</v>
      </c>
      <c r="K161" s="90"/>
    </row>
    <row r="162" spans="1:11" ht="12.75">
      <c r="A162" s="165"/>
      <c r="B162" s="172"/>
      <c r="C162" s="4" t="s">
        <v>129</v>
      </c>
      <c r="D162" s="4" t="s">
        <v>130</v>
      </c>
      <c r="E162" s="6">
        <v>3015.02</v>
      </c>
      <c r="F162" s="116">
        <f t="shared" si="20"/>
        <v>0.010401240138638428</v>
      </c>
      <c r="G162" s="30">
        <v>3660</v>
      </c>
      <c r="H162" s="84"/>
      <c r="I162" s="54">
        <f t="shared" si="16"/>
        <v>121.39222957061644</v>
      </c>
      <c r="J162" s="37">
        <f t="shared" si="19"/>
        <v>0.014525985919999951</v>
      </c>
      <c r="K162" s="90"/>
    </row>
    <row r="163" spans="1:11" ht="24.75" customHeight="1">
      <c r="A163" s="165"/>
      <c r="B163" s="172"/>
      <c r="C163" s="4">
        <v>4360</v>
      </c>
      <c r="D163" s="4" t="s">
        <v>131</v>
      </c>
      <c r="E163" s="6">
        <v>7568.41</v>
      </c>
      <c r="F163" s="116">
        <f t="shared" si="20"/>
        <v>0.026109561421706142</v>
      </c>
      <c r="G163" s="30">
        <v>8960</v>
      </c>
      <c r="H163" s="84"/>
      <c r="I163" s="54">
        <f t="shared" si="16"/>
        <v>118.38682100996114</v>
      </c>
      <c r="J163" s="37">
        <f t="shared" si="19"/>
        <v>0.03556088356371573</v>
      </c>
      <c r="K163" s="90"/>
    </row>
    <row r="164" spans="1:11" ht="22.5">
      <c r="A164" s="165"/>
      <c r="B164" s="172"/>
      <c r="C164" s="4">
        <v>4370</v>
      </c>
      <c r="D164" s="4" t="s">
        <v>132</v>
      </c>
      <c r="E164" s="6">
        <v>9267.95</v>
      </c>
      <c r="F164" s="116">
        <f t="shared" si="20"/>
        <v>0.03197264812269704</v>
      </c>
      <c r="G164" s="30">
        <v>10200</v>
      </c>
      <c r="H164" s="84"/>
      <c r="I164" s="54">
        <f t="shared" si="16"/>
        <v>110.05670078064726</v>
      </c>
      <c r="J164" s="37">
        <f t="shared" si="19"/>
        <v>0.040482255842622814</v>
      </c>
      <c r="K164" s="90"/>
    </row>
    <row r="165" spans="1:11" ht="12.75">
      <c r="A165" s="165"/>
      <c r="B165" s="172"/>
      <c r="C165" s="4">
        <v>4380</v>
      </c>
      <c r="D165" s="4" t="s">
        <v>133</v>
      </c>
      <c r="E165" s="6">
        <v>200</v>
      </c>
      <c r="F165" s="116">
        <f t="shared" si="20"/>
        <v>0.0006899616014910963</v>
      </c>
      <c r="G165" s="30">
        <v>200</v>
      </c>
      <c r="H165" s="84"/>
      <c r="I165" s="54">
        <f t="shared" si="16"/>
        <v>100</v>
      </c>
      <c r="J165" s="37">
        <f t="shared" si="19"/>
        <v>0.0007937697224043689</v>
      </c>
      <c r="K165" s="90"/>
    </row>
    <row r="166" spans="1:11" ht="12.75">
      <c r="A166" s="165"/>
      <c r="B166" s="172"/>
      <c r="C166" s="4" t="s">
        <v>121</v>
      </c>
      <c r="D166" s="4" t="s">
        <v>122</v>
      </c>
      <c r="E166" s="6">
        <v>14507.05</v>
      </c>
      <c r="F166" s="116">
        <f t="shared" si="20"/>
        <v>0.050046537254557044</v>
      </c>
      <c r="G166" s="30">
        <v>17000</v>
      </c>
      <c r="H166" s="84"/>
      <c r="I166" s="54">
        <f t="shared" si="16"/>
        <v>117.18440344522148</v>
      </c>
      <c r="J166" s="37">
        <f t="shared" si="19"/>
        <v>0.06747042640437136</v>
      </c>
      <c r="K166" s="90"/>
    </row>
    <row r="167" spans="1:11" ht="11.25" customHeight="1">
      <c r="A167" s="165"/>
      <c r="B167" s="172"/>
      <c r="C167" s="4" t="s">
        <v>123</v>
      </c>
      <c r="D167" s="4" t="s">
        <v>124</v>
      </c>
      <c r="E167" s="6">
        <v>200</v>
      </c>
      <c r="F167" s="116">
        <f t="shared" si="20"/>
        <v>0.0006899616014910963</v>
      </c>
      <c r="G167" s="30">
        <v>200</v>
      </c>
      <c r="H167" s="84"/>
      <c r="I167" s="54">
        <f t="shared" si="16"/>
        <v>100</v>
      </c>
      <c r="J167" s="37">
        <f t="shared" si="19"/>
        <v>0.0007937697224043689</v>
      </c>
      <c r="K167" s="90"/>
    </row>
    <row r="168" spans="1:11" ht="12.75">
      <c r="A168" s="165"/>
      <c r="B168" s="172"/>
      <c r="C168" s="4" t="s">
        <v>108</v>
      </c>
      <c r="D168" s="4" t="s">
        <v>87</v>
      </c>
      <c r="E168" s="6">
        <v>10000</v>
      </c>
      <c r="F168" s="116">
        <f t="shared" si="20"/>
        <v>0.03449808007455482</v>
      </c>
      <c r="G168" s="30">
        <v>9400</v>
      </c>
      <c r="H168" s="84"/>
      <c r="I168" s="54">
        <f t="shared" si="16"/>
        <v>94</v>
      </c>
      <c r="J168" s="37">
        <f t="shared" si="19"/>
        <v>0.03730717695300534</v>
      </c>
      <c r="K168" s="90"/>
    </row>
    <row r="169" spans="1:11" ht="19.5" customHeight="1">
      <c r="A169" s="165"/>
      <c r="B169" s="172"/>
      <c r="C169" s="4" t="s">
        <v>115</v>
      </c>
      <c r="D169" s="4" t="s">
        <v>134</v>
      </c>
      <c r="E169" s="6">
        <v>40600</v>
      </c>
      <c r="F169" s="116">
        <f t="shared" si="20"/>
        <v>0.14006220510269254</v>
      </c>
      <c r="G169" s="30">
        <v>38000</v>
      </c>
      <c r="H169" s="84"/>
      <c r="I169" s="54">
        <f t="shared" si="16"/>
        <v>93.59605911330048</v>
      </c>
      <c r="J169" s="37">
        <f t="shared" si="19"/>
        <v>0.15081624725683007</v>
      </c>
      <c r="K169" s="90" t="s">
        <v>404</v>
      </c>
    </row>
    <row r="170" spans="1:11" ht="19.5" customHeight="1">
      <c r="A170" s="165"/>
      <c r="B170" s="172"/>
      <c r="C170" s="4">
        <v>4520</v>
      </c>
      <c r="D170" s="4" t="s">
        <v>412</v>
      </c>
      <c r="E170" s="6">
        <v>2808</v>
      </c>
      <c r="F170" s="116">
        <f t="shared" si="20"/>
        <v>0.009687060884934994</v>
      </c>
      <c r="G170" s="30">
        <v>2808</v>
      </c>
      <c r="H170" s="84"/>
      <c r="I170" s="54">
        <f t="shared" si="16"/>
        <v>100</v>
      </c>
      <c r="J170" s="37">
        <f t="shared" si="19"/>
        <v>0.01114452690255734</v>
      </c>
      <c r="K170" s="90"/>
    </row>
    <row r="171" spans="1:11" ht="12.75">
      <c r="A171" s="165"/>
      <c r="B171" s="172"/>
      <c r="C171" s="4" t="s">
        <v>135</v>
      </c>
      <c r="D171" s="4" t="s">
        <v>136</v>
      </c>
      <c r="E171" s="6">
        <v>300</v>
      </c>
      <c r="F171" s="116">
        <f t="shared" si="20"/>
        <v>0.0010349424022366447</v>
      </c>
      <c r="G171" s="30">
        <v>300</v>
      </c>
      <c r="H171" s="84"/>
      <c r="I171" s="54">
        <f t="shared" si="16"/>
        <v>100</v>
      </c>
      <c r="J171" s="37">
        <f t="shared" si="19"/>
        <v>0.0011906545836065535</v>
      </c>
      <c r="K171" s="90"/>
    </row>
    <row r="172" spans="1:11" ht="22.5" customHeight="1">
      <c r="A172" s="165"/>
      <c r="B172" s="172"/>
      <c r="C172" s="4">
        <v>4610</v>
      </c>
      <c r="D172" s="4" t="s">
        <v>413</v>
      </c>
      <c r="E172" s="6">
        <v>300</v>
      </c>
      <c r="F172" s="116"/>
      <c r="G172" s="30">
        <v>300</v>
      </c>
      <c r="H172" s="84"/>
      <c r="I172" s="54"/>
      <c r="J172" s="37"/>
      <c r="K172" s="90"/>
    </row>
    <row r="173" spans="1:11" ht="22.5">
      <c r="A173" s="165"/>
      <c r="B173" s="172"/>
      <c r="C173" s="4">
        <v>4700</v>
      </c>
      <c r="D173" s="4" t="s">
        <v>137</v>
      </c>
      <c r="E173" s="6">
        <v>16636</v>
      </c>
      <c r="F173" s="116">
        <f aca="true" t="shared" si="21" ref="F173:F193">(E173/$E$807)*100</f>
        <v>0.0573910060120294</v>
      </c>
      <c r="G173" s="30">
        <v>19000</v>
      </c>
      <c r="H173" s="84"/>
      <c r="I173" s="54">
        <f t="shared" si="16"/>
        <v>114.21014666987257</v>
      </c>
      <c r="J173" s="37">
        <f>(G173/$G$807)*100</f>
        <v>0.07540812362841504</v>
      </c>
      <c r="K173" s="90"/>
    </row>
    <row r="174" spans="1:11" ht="21">
      <c r="A174" s="165"/>
      <c r="B174" s="172"/>
      <c r="C174" s="25" t="s">
        <v>38</v>
      </c>
      <c r="D174" s="25" t="s">
        <v>138</v>
      </c>
      <c r="E174" s="26">
        <f>E175+E176</f>
        <v>400</v>
      </c>
      <c r="F174" s="116">
        <f t="shared" si="21"/>
        <v>0.0013799232029821926</v>
      </c>
      <c r="G174" s="26">
        <v>25000</v>
      </c>
      <c r="H174" s="26" t="e">
        <f>#REF!</f>
        <v>#REF!</v>
      </c>
      <c r="I174" s="53">
        <f>(G174/E174)*100</f>
        <v>6250</v>
      </c>
      <c r="J174" s="37">
        <f>(G174/$G$807)*100</f>
        <v>0.0992212153005461</v>
      </c>
      <c r="K174" s="90"/>
    </row>
    <row r="175" spans="1:11" ht="12.75">
      <c r="A175" s="165"/>
      <c r="B175" s="172"/>
      <c r="C175" s="25"/>
      <c r="D175" s="4" t="s">
        <v>407</v>
      </c>
      <c r="E175" s="6">
        <v>200</v>
      </c>
      <c r="F175" s="126"/>
      <c r="G175" s="6"/>
      <c r="H175" s="61"/>
      <c r="I175" s="54"/>
      <c r="J175" s="37">
        <f>(G175/$G$807)*100</f>
        <v>0</v>
      </c>
      <c r="K175" s="90"/>
    </row>
    <row r="176" spans="1:11" ht="12.75">
      <c r="A176" s="165"/>
      <c r="B176" s="172"/>
      <c r="C176" s="25"/>
      <c r="D176" s="4" t="s">
        <v>408</v>
      </c>
      <c r="E176" s="6">
        <v>200</v>
      </c>
      <c r="F176" s="126"/>
      <c r="G176" s="6"/>
      <c r="H176" s="61"/>
      <c r="I176" s="54"/>
      <c r="J176" s="37"/>
      <c r="K176" s="90"/>
    </row>
    <row r="177" spans="1:11" ht="22.5">
      <c r="A177" s="165"/>
      <c r="B177" s="172"/>
      <c r="C177" s="4">
        <v>6067</v>
      </c>
      <c r="D177" s="4" t="s">
        <v>368</v>
      </c>
      <c r="E177" s="28">
        <v>714599.25</v>
      </c>
      <c r="F177" s="116">
        <f t="shared" si="21"/>
        <v>2.465230214771682</v>
      </c>
      <c r="G177" s="29"/>
      <c r="H177" s="86"/>
      <c r="I177" s="53"/>
      <c r="J177" s="37">
        <f>(G177/$G$807)*100</f>
        <v>0</v>
      </c>
      <c r="K177" s="90">
        <f>E178+E177+E174</f>
        <v>841105</v>
      </c>
    </row>
    <row r="178" spans="1:11" ht="22.5">
      <c r="A178" s="165"/>
      <c r="B178" s="173"/>
      <c r="C178" s="4">
        <v>6069</v>
      </c>
      <c r="D178" s="4" t="s">
        <v>369</v>
      </c>
      <c r="E178" s="28">
        <v>126105.75</v>
      </c>
      <c r="F178" s="116">
        <f t="shared" si="21"/>
        <v>0.4350406261361791</v>
      </c>
      <c r="G178" s="29"/>
      <c r="H178" s="86"/>
      <c r="I178" s="53"/>
      <c r="J178" s="37"/>
      <c r="K178" s="90"/>
    </row>
    <row r="179" spans="1:11" ht="12.75">
      <c r="A179" s="165"/>
      <c r="B179" s="150" t="s">
        <v>139</v>
      </c>
      <c r="C179" s="3"/>
      <c r="D179" s="3" t="s">
        <v>9</v>
      </c>
      <c r="E179" s="5">
        <f>E183+E185+E186+E187+E188+E189+E192+E184+E190+E191+E193</f>
        <v>180277.01</v>
      </c>
      <c r="F179" s="116">
        <f t="shared" si="21"/>
        <v>0.621921072658132</v>
      </c>
      <c r="G179" s="5">
        <f>G183+G185+G186+G187+G188+G189+G192+G184+G190+G191+G193</f>
        <v>160800</v>
      </c>
      <c r="H179" s="5" t="e">
        <f>H183+H185+H186+H187+H188+H189+H192+#REF!+H184+#REF!+#REF!+H190+H191+H193</f>
        <v>#REF!</v>
      </c>
      <c r="I179" s="53">
        <f>(G179/E179)*100</f>
        <v>89.1960655437984</v>
      </c>
      <c r="J179" s="37">
        <f>(G179/$G$807)*100</f>
        <v>0.6381908568131126</v>
      </c>
      <c r="K179" s="139"/>
    </row>
    <row r="180" spans="1:11" s="19" customFormat="1" ht="12.75">
      <c r="A180" s="165"/>
      <c r="B180" s="151"/>
      <c r="C180" s="8"/>
      <c r="D180" s="24" t="s">
        <v>249</v>
      </c>
      <c r="E180" s="11"/>
      <c r="F180" s="116">
        <f t="shared" si="21"/>
        <v>0</v>
      </c>
      <c r="G180" s="11"/>
      <c r="H180" s="11" t="e">
        <f>#REF!</f>
        <v>#REF!</v>
      </c>
      <c r="I180" s="53"/>
      <c r="J180" s="37">
        <f>(G180/$G$807)*100</f>
        <v>0</v>
      </c>
      <c r="K180" s="92"/>
    </row>
    <row r="181" spans="1:11" s="19" customFormat="1" ht="12.75">
      <c r="A181" s="165"/>
      <c r="B181" s="151"/>
      <c r="C181" s="8"/>
      <c r="D181" s="24" t="s">
        <v>248</v>
      </c>
      <c r="E181" s="11">
        <f>E183+E185+E186+E187+E188+E189+E192+E184+E190+E191+E193</f>
        <v>180277.01</v>
      </c>
      <c r="F181" s="116">
        <f t="shared" si="21"/>
        <v>0.621921072658132</v>
      </c>
      <c r="G181" s="11">
        <f>G183+G185+G186+G187+G188+G189+G192+G184+G190+G191+G193</f>
        <v>160800</v>
      </c>
      <c r="H181" s="11" t="e">
        <f>H183+H185+H186+H187+H188+H189+H192+#REF!+H184+#REF!+#REF!+H190+H191+H193</f>
        <v>#REF!</v>
      </c>
      <c r="I181" s="53">
        <f>(G181/E181)*100</f>
        <v>89.1960655437984</v>
      </c>
      <c r="J181" s="37">
        <f>(G181/$G$807)*100</f>
        <v>0.6381908568131126</v>
      </c>
      <c r="K181" s="92"/>
    </row>
    <row r="182" spans="1:11" s="19" customFormat="1" ht="12.75">
      <c r="A182" s="165"/>
      <c r="B182" s="151"/>
      <c r="C182" s="8"/>
      <c r="D182" s="8" t="s">
        <v>226</v>
      </c>
      <c r="E182" s="11"/>
      <c r="F182" s="116">
        <f t="shared" si="21"/>
        <v>0</v>
      </c>
      <c r="G182" s="11"/>
      <c r="H182" s="60"/>
      <c r="I182" s="56"/>
      <c r="J182" s="37">
        <f>(G182/$G$807)*100</f>
        <v>0</v>
      </c>
      <c r="K182" s="92"/>
    </row>
    <row r="183" spans="1:11" ht="12.75">
      <c r="A183" s="165"/>
      <c r="B183" s="152"/>
      <c r="C183" s="4" t="s">
        <v>140</v>
      </c>
      <c r="D183" s="4" t="s">
        <v>141</v>
      </c>
      <c r="E183" s="6">
        <v>4046.5</v>
      </c>
      <c r="F183" s="116">
        <f t="shared" si="21"/>
        <v>0.013959648102168607</v>
      </c>
      <c r="G183" s="30">
        <v>5000</v>
      </c>
      <c r="H183" s="84"/>
      <c r="I183" s="54">
        <f aca="true" t="shared" si="22" ref="I183:I189">(G183/E183)*100</f>
        <v>123.56357345854443</v>
      </c>
      <c r="J183" s="37">
        <f>(G183/$G$807)*100</f>
        <v>0.019844243060109224</v>
      </c>
      <c r="K183" s="90"/>
    </row>
    <row r="184" spans="1:11" ht="12.75">
      <c r="A184" s="165"/>
      <c r="B184" s="152"/>
      <c r="C184" s="4">
        <v>4100</v>
      </c>
      <c r="D184" s="4" t="s">
        <v>341</v>
      </c>
      <c r="E184" s="6">
        <v>55000</v>
      </c>
      <c r="F184" s="116">
        <f t="shared" si="21"/>
        <v>0.1897394404100515</v>
      </c>
      <c r="G184" s="30">
        <v>57000</v>
      </c>
      <c r="H184" s="84"/>
      <c r="I184" s="54"/>
      <c r="J184" s="37"/>
      <c r="K184" s="90"/>
    </row>
    <row r="185" spans="1:11" ht="12.75">
      <c r="A185" s="165"/>
      <c r="B185" s="152"/>
      <c r="C185" s="4" t="s">
        <v>96</v>
      </c>
      <c r="D185" s="4" t="s">
        <v>142</v>
      </c>
      <c r="E185" s="6">
        <v>900</v>
      </c>
      <c r="F185" s="116">
        <f t="shared" si="21"/>
        <v>0.0031048272067099336</v>
      </c>
      <c r="G185" s="30">
        <v>1000</v>
      </c>
      <c r="H185" s="84"/>
      <c r="I185" s="54">
        <f t="shared" si="22"/>
        <v>111.11111111111111</v>
      </c>
      <c r="J185" s="37">
        <f>(G185/$G$807)*100</f>
        <v>0.003968848612021844</v>
      </c>
      <c r="K185" s="90"/>
    </row>
    <row r="186" spans="1:11" ht="12.75">
      <c r="A186" s="165"/>
      <c r="B186" s="152"/>
      <c r="C186" s="4" t="s">
        <v>97</v>
      </c>
      <c r="D186" s="4" t="s">
        <v>104</v>
      </c>
      <c r="E186" s="6">
        <v>100</v>
      </c>
      <c r="F186" s="116">
        <f t="shared" si="21"/>
        <v>0.00034498080074554815</v>
      </c>
      <c r="G186" s="30">
        <v>100</v>
      </c>
      <c r="H186" s="84"/>
      <c r="I186" s="54">
        <f t="shared" si="22"/>
        <v>100</v>
      </c>
      <c r="J186" s="37">
        <f>(G186/$G$807)*100</f>
        <v>0.00039688486120218445</v>
      </c>
      <c r="K186" s="90"/>
    </row>
    <row r="187" spans="1:11" ht="12.75">
      <c r="A187" s="165"/>
      <c r="B187" s="152"/>
      <c r="C187" s="4" t="s">
        <v>98</v>
      </c>
      <c r="D187" s="4" t="s">
        <v>143</v>
      </c>
      <c r="E187" s="6">
        <v>5250</v>
      </c>
      <c r="F187" s="116">
        <f t="shared" si="21"/>
        <v>0.01811149203914128</v>
      </c>
      <c r="G187" s="30">
        <v>10000</v>
      </c>
      <c r="H187" s="84"/>
      <c r="I187" s="54">
        <f t="shared" si="22"/>
        <v>190.47619047619045</v>
      </c>
      <c r="J187" s="37">
        <f>(G187/$G$807)*100</f>
        <v>0.03968848612021845</v>
      </c>
      <c r="K187" s="90"/>
    </row>
    <row r="188" spans="1:11" ht="12.75">
      <c r="A188" s="165"/>
      <c r="B188" s="152"/>
      <c r="C188" s="4" t="s">
        <v>99</v>
      </c>
      <c r="D188" s="4" t="s">
        <v>73</v>
      </c>
      <c r="E188" s="6">
        <v>35000</v>
      </c>
      <c r="F188" s="116">
        <f t="shared" si="21"/>
        <v>0.12074328026094186</v>
      </c>
      <c r="G188" s="30">
        <v>35000</v>
      </c>
      <c r="H188" s="84"/>
      <c r="I188" s="54">
        <f t="shared" si="22"/>
        <v>100</v>
      </c>
      <c r="J188" s="37">
        <f>(G188/$G$807)*100</f>
        <v>0.13890970142076456</v>
      </c>
      <c r="K188" s="90"/>
    </row>
    <row r="189" spans="1:11" ht="12.75">
      <c r="A189" s="165"/>
      <c r="B189" s="152"/>
      <c r="C189" s="4" t="s">
        <v>77</v>
      </c>
      <c r="D189" s="4" t="s">
        <v>86</v>
      </c>
      <c r="E189" s="6">
        <v>35500</v>
      </c>
      <c r="F189" s="116">
        <f t="shared" si="21"/>
        <v>0.12246818426466961</v>
      </c>
      <c r="G189" s="30">
        <v>35700</v>
      </c>
      <c r="H189" s="84"/>
      <c r="I189" s="54">
        <f t="shared" si="22"/>
        <v>100.56338028169014</v>
      </c>
      <c r="J189" s="37">
        <f>(G189/$G$807)*100</f>
        <v>0.14168789544917984</v>
      </c>
      <c r="K189" s="90"/>
    </row>
    <row r="190" spans="1:11" ht="12.75">
      <c r="A190" s="165"/>
      <c r="B190" s="152"/>
      <c r="C190" s="4">
        <v>4307</v>
      </c>
      <c r="D190" s="4" t="s">
        <v>86</v>
      </c>
      <c r="E190" s="6">
        <v>20348.94</v>
      </c>
      <c r="F190" s="116">
        <f t="shared" si="21"/>
        <v>0.07019993615523114</v>
      </c>
      <c r="G190" s="30"/>
      <c r="H190" s="84"/>
      <c r="I190" s="54"/>
      <c r="J190" s="37"/>
      <c r="K190" s="90"/>
    </row>
    <row r="191" spans="1:11" ht="12.75">
      <c r="A191" s="165"/>
      <c r="B191" s="152"/>
      <c r="C191" s="4">
        <v>4309</v>
      </c>
      <c r="D191" s="4" t="s">
        <v>86</v>
      </c>
      <c r="E191" s="6">
        <v>8131.57</v>
      </c>
      <c r="F191" s="116">
        <f t="shared" si="21"/>
        <v>0.028052355299184772</v>
      </c>
      <c r="G191" s="30"/>
      <c r="H191" s="84"/>
      <c r="I191" s="54"/>
      <c r="J191" s="37"/>
      <c r="K191" s="90"/>
    </row>
    <row r="192" spans="1:11" ht="12.75">
      <c r="A192" s="165"/>
      <c r="B192" s="152"/>
      <c r="C192" s="4">
        <v>4430</v>
      </c>
      <c r="D192" s="4" t="s">
        <v>87</v>
      </c>
      <c r="E192" s="6">
        <v>15500</v>
      </c>
      <c r="F192" s="116">
        <f t="shared" si="21"/>
        <v>0.053472024115559964</v>
      </c>
      <c r="G192" s="30">
        <v>16000</v>
      </c>
      <c r="H192" s="84"/>
      <c r="I192" s="54"/>
      <c r="J192" s="37">
        <f>(G192/$G$807)*100</f>
        <v>0.06350157779234951</v>
      </c>
      <c r="K192" s="90"/>
    </row>
    <row r="193" spans="1:11" ht="22.5">
      <c r="A193" s="163"/>
      <c r="B193" s="149"/>
      <c r="C193" s="4">
        <v>4610</v>
      </c>
      <c r="D193" s="4" t="s">
        <v>217</v>
      </c>
      <c r="E193" s="6">
        <v>500</v>
      </c>
      <c r="F193" s="116">
        <f t="shared" si="21"/>
        <v>0.0017249040037277407</v>
      </c>
      <c r="G193" s="30">
        <v>1000</v>
      </c>
      <c r="H193" s="84"/>
      <c r="I193" s="54"/>
      <c r="J193" s="37"/>
      <c r="K193" s="90"/>
    </row>
    <row r="194" spans="1:11" ht="34.5" customHeight="1">
      <c r="A194" s="174" t="s">
        <v>146</v>
      </c>
      <c r="B194" s="4"/>
      <c r="C194" s="4"/>
      <c r="D194" s="3" t="s">
        <v>213</v>
      </c>
      <c r="E194" s="5">
        <f>E197+E202+E210</f>
        <v>84245</v>
      </c>
      <c r="F194" s="5">
        <f>F197+F202+F210</f>
        <v>0.0046572408100649006</v>
      </c>
      <c r="G194" s="5">
        <f>G197+G202+G210</f>
        <v>1350</v>
      </c>
      <c r="H194" s="5" t="e">
        <f>H197</f>
        <v>#REF!</v>
      </c>
      <c r="I194" s="54">
        <f>(G194/E194)*100</f>
        <v>1.6024689892575228</v>
      </c>
      <c r="J194" s="37">
        <f aca="true" t="shared" si="23" ref="J194:J201">(G194/$G$807)*100</f>
        <v>0.00535794562622949</v>
      </c>
      <c r="K194" s="90"/>
    </row>
    <row r="195" spans="1:11" ht="12.75">
      <c r="A195" s="175"/>
      <c r="B195" s="4"/>
      <c r="C195" s="4"/>
      <c r="D195" s="8" t="s">
        <v>225</v>
      </c>
      <c r="E195" s="6">
        <f>E197+E202+E210</f>
        <v>84245</v>
      </c>
      <c r="F195" s="6">
        <f>F197+F202+F210</f>
        <v>0.0046572408100649006</v>
      </c>
      <c r="G195" s="6">
        <f>G197+G202+G210</f>
        <v>1350</v>
      </c>
      <c r="H195" s="6" t="e">
        <f>H197</f>
        <v>#REF!</v>
      </c>
      <c r="I195" s="54">
        <f>(G195/E195)*100</f>
        <v>1.6024689892575228</v>
      </c>
      <c r="J195" s="37">
        <f t="shared" si="23"/>
        <v>0.00535794562622949</v>
      </c>
      <c r="K195" s="90"/>
    </row>
    <row r="196" spans="1:11" ht="12.75">
      <c r="A196" s="175"/>
      <c r="B196" s="4"/>
      <c r="C196" s="4"/>
      <c r="D196" s="8" t="s">
        <v>226</v>
      </c>
      <c r="E196" s="5">
        <v>0</v>
      </c>
      <c r="F196" s="116">
        <f aca="true" t="shared" si="24" ref="F196:F201">(E196/$E$807)*100</f>
        <v>0</v>
      </c>
      <c r="G196" s="5">
        <v>0</v>
      </c>
      <c r="H196" s="85">
        <v>0</v>
      </c>
      <c r="I196" s="54"/>
      <c r="J196" s="37">
        <f t="shared" si="23"/>
        <v>0</v>
      </c>
      <c r="K196" s="90"/>
    </row>
    <row r="197" spans="1:11" ht="14.25" customHeight="1">
      <c r="A197" s="165"/>
      <c r="B197" s="150" t="s">
        <v>144</v>
      </c>
      <c r="C197" s="3"/>
      <c r="D197" s="3" t="s">
        <v>145</v>
      </c>
      <c r="E197" s="5">
        <f>E198+E200+E201+E199</f>
        <v>1350</v>
      </c>
      <c r="F197" s="116">
        <f t="shared" si="24"/>
        <v>0.0046572408100649006</v>
      </c>
      <c r="G197" s="5">
        <f>G198+G200+G201+G199</f>
        <v>1350</v>
      </c>
      <c r="H197" s="5" t="e">
        <f>H198+H200+H201+H199+#REF!+#REF!</f>
        <v>#REF!</v>
      </c>
      <c r="I197" s="54">
        <f>(G197/E197)*100</f>
        <v>100</v>
      </c>
      <c r="J197" s="37">
        <f t="shared" si="23"/>
        <v>0.00535794562622949</v>
      </c>
      <c r="K197" s="90"/>
    </row>
    <row r="198" spans="1:11" ht="12.75">
      <c r="A198" s="165"/>
      <c r="B198" s="152"/>
      <c r="C198" s="4" t="s">
        <v>96</v>
      </c>
      <c r="D198" s="4" t="s">
        <v>409</v>
      </c>
      <c r="E198" s="6">
        <v>181.8</v>
      </c>
      <c r="F198" s="116">
        <f t="shared" si="24"/>
        <v>0.0006271750957554066</v>
      </c>
      <c r="G198" s="30">
        <v>181.8</v>
      </c>
      <c r="H198" s="84"/>
      <c r="I198" s="54">
        <f>(G198/E198)*100</f>
        <v>100</v>
      </c>
      <c r="J198" s="37">
        <f t="shared" si="23"/>
        <v>0.0007215366776655714</v>
      </c>
      <c r="K198" s="90"/>
    </row>
    <row r="199" spans="1:11" ht="12.75">
      <c r="A199" s="165"/>
      <c r="B199" s="152"/>
      <c r="C199" s="4">
        <v>4120</v>
      </c>
      <c r="D199" s="4" t="s">
        <v>84</v>
      </c>
      <c r="E199" s="6">
        <v>29.19</v>
      </c>
      <c r="F199" s="116">
        <f t="shared" si="24"/>
        <v>0.00010069989573762552</v>
      </c>
      <c r="G199" s="30">
        <v>29.19</v>
      </c>
      <c r="H199" s="84"/>
      <c r="I199" s="54">
        <f>(G199/E199)*100</f>
        <v>100</v>
      </c>
      <c r="J199" s="37">
        <f t="shared" si="23"/>
        <v>0.00011585069098491765</v>
      </c>
      <c r="K199" s="90"/>
    </row>
    <row r="200" spans="1:11" ht="12.75" customHeight="1">
      <c r="A200" s="165"/>
      <c r="B200" s="152"/>
      <c r="C200" s="4" t="s">
        <v>98</v>
      </c>
      <c r="D200" s="4" t="s">
        <v>143</v>
      </c>
      <c r="E200" s="6">
        <v>1089.01</v>
      </c>
      <c r="F200" s="116">
        <f t="shared" si="24"/>
        <v>0.0037568754181990945</v>
      </c>
      <c r="G200" s="30">
        <v>1089.01</v>
      </c>
      <c r="H200" s="84"/>
      <c r="I200" s="54">
        <f>(G200/E200)*100</f>
        <v>100</v>
      </c>
      <c r="J200" s="37">
        <f t="shared" si="23"/>
        <v>0.004322115826977909</v>
      </c>
      <c r="K200" s="90"/>
    </row>
    <row r="201" spans="1:11" ht="12.75">
      <c r="A201" s="165"/>
      <c r="B201" s="152"/>
      <c r="C201" s="4" t="s">
        <v>99</v>
      </c>
      <c r="D201" s="4" t="s">
        <v>73</v>
      </c>
      <c r="E201" s="6">
        <v>50</v>
      </c>
      <c r="F201" s="116">
        <f t="shared" si="24"/>
        <v>0.00017249040037277407</v>
      </c>
      <c r="G201" s="30">
        <v>50</v>
      </c>
      <c r="H201" s="84"/>
      <c r="I201" s="54">
        <f>(G201/E201)*100</f>
        <v>100</v>
      </c>
      <c r="J201" s="37">
        <f t="shared" si="23"/>
        <v>0.00019844243060109223</v>
      </c>
      <c r="K201" s="90"/>
    </row>
    <row r="202" spans="1:11" ht="54.75" customHeight="1">
      <c r="A202" s="162"/>
      <c r="B202" s="180">
        <v>75109</v>
      </c>
      <c r="C202" s="3"/>
      <c r="D202" s="3" t="s">
        <v>414</v>
      </c>
      <c r="E202" s="5">
        <f>SUM(E203:E209)</f>
        <v>60248</v>
      </c>
      <c r="F202" s="5"/>
      <c r="G202" s="5">
        <f>SUM(G203:G209)</f>
        <v>0</v>
      </c>
      <c r="H202" s="5">
        <f>SUM(H203:H209)</f>
        <v>0</v>
      </c>
      <c r="I202" s="55"/>
      <c r="J202" s="70"/>
      <c r="K202" s="90"/>
    </row>
    <row r="203" spans="1:11" ht="14.25" customHeight="1">
      <c r="A203" s="162"/>
      <c r="B203" s="153"/>
      <c r="C203" s="4">
        <v>3030</v>
      </c>
      <c r="D203" s="4" t="s">
        <v>295</v>
      </c>
      <c r="E203" s="6">
        <v>40055</v>
      </c>
      <c r="F203" s="116"/>
      <c r="G203" s="30"/>
      <c r="H203" s="84"/>
      <c r="I203" s="54"/>
      <c r="J203" s="37"/>
      <c r="K203" s="90"/>
    </row>
    <row r="204" spans="1:11" ht="16.5" customHeight="1">
      <c r="A204" s="162"/>
      <c r="B204" s="153"/>
      <c r="C204" s="4">
        <v>4110</v>
      </c>
      <c r="D204" s="4" t="s">
        <v>93</v>
      </c>
      <c r="E204" s="6">
        <v>1417</v>
      </c>
      <c r="F204" s="116"/>
      <c r="G204" s="30"/>
      <c r="H204" s="84"/>
      <c r="I204" s="54"/>
      <c r="J204" s="37"/>
      <c r="K204" s="90"/>
    </row>
    <row r="205" spans="1:11" ht="13.5" customHeight="1">
      <c r="A205" s="162"/>
      <c r="B205" s="153"/>
      <c r="C205" s="4">
        <v>4120</v>
      </c>
      <c r="D205" s="4" t="s">
        <v>84</v>
      </c>
      <c r="E205" s="6">
        <v>202</v>
      </c>
      <c r="F205" s="116"/>
      <c r="G205" s="30"/>
      <c r="H205" s="84"/>
      <c r="I205" s="54"/>
      <c r="J205" s="37"/>
      <c r="K205" s="90"/>
    </row>
    <row r="206" spans="1:11" ht="15.75" customHeight="1">
      <c r="A206" s="162"/>
      <c r="B206" s="153"/>
      <c r="C206" s="4">
        <v>4170</v>
      </c>
      <c r="D206" s="4" t="s">
        <v>143</v>
      </c>
      <c r="E206" s="6">
        <v>8244</v>
      </c>
      <c r="F206" s="116"/>
      <c r="G206" s="30"/>
      <c r="H206" s="84"/>
      <c r="I206" s="54"/>
      <c r="J206" s="37"/>
      <c r="K206" s="90"/>
    </row>
    <row r="207" spans="1:11" ht="9.75" customHeight="1">
      <c r="A207" s="162"/>
      <c r="B207" s="153"/>
      <c r="C207" s="4">
        <v>4210</v>
      </c>
      <c r="D207" s="4" t="s">
        <v>73</v>
      </c>
      <c r="E207" s="6">
        <v>5146</v>
      </c>
      <c r="F207" s="116"/>
      <c r="G207" s="30"/>
      <c r="H207" s="84"/>
      <c r="I207" s="54"/>
      <c r="J207" s="37"/>
      <c r="K207" s="90"/>
    </row>
    <row r="208" spans="1:11" ht="12.75" customHeight="1">
      <c r="A208" s="162"/>
      <c r="B208" s="153"/>
      <c r="C208" s="4">
        <v>4300</v>
      </c>
      <c r="D208" s="4" t="s">
        <v>86</v>
      </c>
      <c r="E208" s="6">
        <v>4284</v>
      </c>
      <c r="F208" s="116"/>
      <c r="G208" s="30"/>
      <c r="H208" s="84"/>
      <c r="I208" s="54"/>
      <c r="J208" s="37"/>
      <c r="K208" s="90"/>
    </row>
    <row r="209" spans="1:11" ht="13.5" customHeight="1">
      <c r="A209" s="162"/>
      <c r="B209" s="149"/>
      <c r="C209" s="4">
        <v>4410</v>
      </c>
      <c r="D209" s="4" t="s">
        <v>122</v>
      </c>
      <c r="E209" s="6">
        <v>900</v>
      </c>
      <c r="F209" s="116"/>
      <c r="G209" s="30"/>
      <c r="H209" s="84"/>
      <c r="I209" s="54"/>
      <c r="J209" s="37"/>
      <c r="K209" s="90"/>
    </row>
    <row r="210" spans="1:11" ht="11.25" customHeight="1">
      <c r="A210" s="162"/>
      <c r="B210" s="166">
        <v>75113</v>
      </c>
      <c r="C210" s="3"/>
      <c r="D210" s="3" t="s">
        <v>415</v>
      </c>
      <c r="E210" s="5">
        <f>SUM(E211:E217)</f>
        <v>22647.000000000004</v>
      </c>
      <c r="F210" s="5"/>
      <c r="G210" s="5">
        <f>SUM(G211:G217)</f>
        <v>0</v>
      </c>
      <c r="H210" s="131"/>
      <c r="I210" s="55"/>
      <c r="J210" s="70"/>
      <c r="K210" s="90"/>
    </row>
    <row r="211" spans="1:11" ht="16.5" customHeight="1">
      <c r="A211" s="162"/>
      <c r="B211" s="153"/>
      <c r="C211" s="4">
        <v>3030</v>
      </c>
      <c r="D211" s="4" t="s">
        <v>295</v>
      </c>
      <c r="E211" s="6">
        <v>9440.94</v>
      </c>
      <c r="F211" s="116"/>
      <c r="G211" s="30"/>
      <c r="H211" s="84"/>
      <c r="I211" s="54"/>
      <c r="J211" s="37"/>
      <c r="K211" s="90"/>
    </row>
    <row r="212" spans="1:11" ht="17.25" customHeight="1">
      <c r="A212" s="162"/>
      <c r="B212" s="153"/>
      <c r="C212" s="4">
        <v>4110</v>
      </c>
      <c r="D212" s="4" t="s">
        <v>93</v>
      </c>
      <c r="E212" s="6">
        <v>1034.33</v>
      </c>
      <c r="F212" s="116"/>
      <c r="G212" s="30"/>
      <c r="H212" s="84"/>
      <c r="I212" s="54"/>
      <c r="J212" s="37"/>
      <c r="K212" s="90"/>
    </row>
    <row r="213" spans="1:11" ht="14.25" customHeight="1">
      <c r="A213" s="162"/>
      <c r="B213" s="153"/>
      <c r="C213" s="4">
        <v>4120</v>
      </c>
      <c r="D213" s="4" t="s">
        <v>84</v>
      </c>
      <c r="E213" s="6">
        <v>108.85</v>
      </c>
      <c r="F213" s="116"/>
      <c r="G213" s="30"/>
      <c r="H213" s="84"/>
      <c r="I213" s="54"/>
      <c r="J213" s="37"/>
      <c r="K213" s="90"/>
    </row>
    <row r="214" spans="1:11" ht="16.5" customHeight="1">
      <c r="A214" s="162"/>
      <c r="B214" s="153"/>
      <c r="C214" s="4">
        <v>4170</v>
      </c>
      <c r="D214" s="4" t="s">
        <v>143</v>
      </c>
      <c r="E214" s="6">
        <v>6242</v>
      </c>
      <c r="F214" s="116"/>
      <c r="G214" s="30"/>
      <c r="H214" s="84"/>
      <c r="I214" s="54"/>
      <c r="J214" s="37"/>
      <c r="K214" s="90"/>
    </row>
    <row r="215" spans="1:11" ht="12" customHeight="1">
      <c r="A215" s="162"/>
      <c r="B215" s="153"/>
      <c r="C215" s="4">
        <v>4210</v>
      </c>
      <c r="D215" s="4" t="s">
        <v>73</v>
      </c>
      <c r="E215" s="6">
        <v>5236.91</v>
      </c>
      <c r="F215" s="116"/>
      <c r="G215" s="30"/>
      <c r="H215" s="84"/>
      <c r="I215" s="54"/>
      <c r="J215" s="37"/>
      <c r="K215" s="90"/>
    </row>
    <row r="216" spans="1:11" ht="12.75" customHeight="1">
      <c r="A216" s="162"/>
      <c r="B216" s="153"/>
      <c r="C216" s="4">
        <v>4300</v>
      </c>
      <c r="D216" s="4" t="s">
        <v>86</v>
      </c>
      <c r="E216" s="6">
        <v>323.2</v>
      </c>
      <c r="F216" s="116"/>
      <c r="G216" s="30"/>
      <c r="H216" s="84"/>
      <c r="I216" s="54"/>
      <c r="J216" s="37"/>
      <c r="K216" s="90"/>
    </row>
    <row r="217" spans="1:11" ht="13.5" customHeight="1">
      <c r="A217" s="163"/>
      <c r="B217" s="149"/>
      <c r="C217" s="4">
        <v>4410</v>
      </c>
      <c r="D217" s="4" t="s">
        <v>122</v>
      </c>
      <c r="E217" s="6">
        <v>260.77</v>
      </c>
      <c r="F217" s="116"/>
      <c r="G217" s="30"/>
      <c r="H217" s="84"/>
      <c r="I217" s="54"/>
      <c r="J217" s="37"/>
      <c r="K217" s="90"/>
    </row>
    <row r="218" spans="1:11" ht="27" customHeight="1">
      <c r="A218" s="158">
        <v>754</v>
      </c>
      <c r="B218" s="36"/>
      <c r="C218" s="36"/>
      <c r="D218" s="3" t="s">
        <v>52</v>
      </c>
      <c r="E218" s="5">
        <f>E225+E243+E238+E223</f>
        <v>285640</v>
      </c>
      <c r="F218" s="116">
        <f>(E218/$E$807)*100</f>
        <v>0.9854031592495838</v>
      </c>
      <c r="G218" s="5">
        <f>G225+G243+G238+G223</f>
        <v>709080</v>
      </c>
      <c r="H218" s="5" t="e">
        <f>H225+H243+H238</f>
        <v>#REF!</v>
      </c>
      <c r="I218" s="54">
        <f aca="true" t="shared" si="25" ref="I218:I295">(G218/E218)*100</f>
        <v>248.2425430611959</v>
      </c>
      <c r="J218" s="37">
        <f>(G218/$G$807)*100</f>
        <v>2.8142311738124497</v>
      </c>
      <c r="K218" s="90"/>
    </row>
    <row r="219" spans="1:11" ht="12.75">
      <c r="A219" s="165"/>
      <c r="B219" s="36"/>
      <c r="C219" s="36"/>
      <c r="D219" s="8" t="s">
        <v>227</v>
      </c>
      <c r="E219" s="6">
        <f>E226+E227+E228+E229+E230+E231+E232+E233+E239+E240+E241+E242+E244+E224</f>
        <v>285140</v>
      </c>
      <c r="F219" s="116">
        <f>(E219/$E$807)*100</f>
        <v>0.9836782552458561</v>
      </c>
      <c r="G219" s="6">
        <f>G226+G227+G228+G229+G230+G231+G232+G233+G239+G240+G241+G242+G244+G224</f>
        <v>289080</v>
      </c>
      <c r="H219" s="6" t="e">
        <f>H226+#REF!+#REF!+H227+H228+#REF!+H229+H230+H231+H232+#REF!+#REF!+H233+#REF!+H239+H240+H241+H242</f>
        <v>#REF!</v>
      </c>
      <c r="I219" s="54">
        <f t="shared" si="25"/>
        <v>101.38177737251877</v>
      </c>
      <c r="J219" s="37">
        <f>(G219/$G$807)*100</f>
        <v>1.1473147567632747</v>
      </c>
      <c r="K219" s="90"/>
    </row>
    <row r="220" spans="1:11" ht="12.75">
      <c r="A220" s="165"/>
      <c r="B220" s="36"/>
      <c r="C220" s="36"/>
      <c r="D220" s="8" t="s">
        <v>226</v>
      </c>
      <c r="E220" s="6">
        <f>E234</f>
        <v>500</v>
      </c>
      <c r="F220" s="116">
        <f>(E220/$E$807)*100</f>
        <v>0.0017249040037277407</v>
      </c>
      <c r="G220" s="6">
        <f>G234</f>
        <v>420000</v>
      </c>
      <c r="H220" s="6" t="e">
        <f>H234+#REF!+#REF!</f>
        <v>#REF!</v>
      </c>
      <c r="I220" s="54">
        <f t="shared" si="25"/>
        <v>84000</v>
      </c>
      <c r="J220" s="37">
        <f>(G220/$G$807)*100</f>
        <v>1.6669164170491746</v>
      </c>
      <c r="K220" s="90"/>
    </row>
    <row r="221" spans="1:11" ht="12.75">
      <c r="A221" s="165"/>
      <c r="B221" s="36"/>
      <c r="C221" s="36"/>
      <c r="D221" s="8" t="s">
        <v>329</v>
      </c>
      <c r="E221" s="6"/>
      <c r="F221" s="116">
        <f>(E221/$E$807)*100</f>
        <v>0</v>
      </c>
      <c r="G221" s="6"/>
      <c r="H221" s="6"/>
      <c r="I221" s="54" t="e">
        <f t="shared" si="25"/>
        <v>#DIV/0!</v>
      </c>
      <c r="J221" s="37">
        <f>(G221/$G$807)*100</f>
        <v>0</v>
      </c>
      <c r="K221" s="90"/>
    </row>
    <row r="222" spans="1:11" ht="12.75">
      <c r="A222" s="165"/>
      <c r="B222" s="45"/>
      <c r="C222" s="36"/>
      <c r="D222" s="8" t="s">
        <v>330</v>
      </c>
      <c r="E222" s="6">
        <f>E219+E220</f>
        <v>285640</v>
      </c>
      <c r="F222" s="116">
        <f>(E222/$E$807)*100</f>
        <v>0.9854031592495838</v>
      </c>
      <c r="G222" s="6">
        <f>G219+G220</f>
        <v>709080</v>
      </c>
      <c r="H222" s="6" t="e">
        <f>SUM(H219:H221)</f>
        <v>#REF!</v>
      </c>
      <c r="I222" s="54">
        <f t="shared" si="25"/>
        <v>248.2425430611959</v>
      </c>
      <c r="J222" s="37">
        <f>(G222/$G$807)*100</f>
        <v>2.8142311738124497</v>
      </c>
      <c r="K222" s="90"/>
    </row>
    <row r="223" spans="1:11" ht="21.75" customHeight="1">
      <c r="A223" s="165"/>
      <c r="B223" s="96">
        <v>75404</v>
      </c>
      <c r="C223" s="50"/>
      <c r="D223" s="130" t="s">
        <v>416</v>
      </c>
      <c r="E223" s="5">
        <f>E224</f>
        <v>5000</v>
      </c>
      <c r="F223" s="5">
        <f>F224</f>
        <v>0</v>
      </c>
      <c r="G223" s="5">
        <f>G224</f>
        <v>0</v>
      </c>
      <c r="H223" s="6"/>
      <c r="I223" s="54"/>
      <c r="J223" s="37"/>
      <c r="K223" s="90"/>
    </row>
    <row r="224" spans="1:11" ht="13.5" customHeight="1">
      <c r="A224" s="165"/>
      <c r="B224" s="45"/>
      <c r="C224" s="36">
        <v>3000</v>
      </c>
      <c r="D224" s="8" t="s">
        <v>417</v>
      </c>
      <c r="E224" s="6">
        <v>5000</v>
      </c>
      <c r="F224" s="116"/>
      <c r="G224" s="6"/>
      <c r="H224" s="6"/>
      <c r="I224" s="54"/>
      <c r="J224" s="37"/>
      <c r="K224" s="90"/>
    </row>
    <row r="225" spans="1:11" ht="17.25" customHeight="1">
      <c r="A225" s="165"/>
      <c r="B225" s="150" t="s">
        <v>53</v>
      </c>
      <c r="C225" s="4"/>
      <c r="D225" s="3" t="s">
        <v>17</v>
      </c>
      <c r="E225" s="5">
        <f>E227+E228+E229+E232+E233+E234+E231+E230+E226</f>
        <v>270640</v>
      </c>
      <c r="F225" s="116">
        <f aca="true" t="shared" si="26" ref="F225:F257">(E225/$E$807)*100</f>
        <v>0.9336560391377516</v>
      </c>
      <c r="G225" s="5">
        <f>G227+G228+G229+G232+G233+G234+G231+G230+G226</f>
        <v>697000</v>
      </c>
      <c r="H225" s="5" t="e">
        <f>#REF!+#REF!+H227+H228+H229+H232+H233+H234+#REF!+#REF!+H231+H230+#REF!+H226+#REF!</f>
        <v>#REF!</v>
      </c>
      <c r="I225" s="54">
        <f t="shared" si="25"/>
        <v>257.53768844221105</v>
      </c>
      <c r="J225" s="37">
        <f aca="true" t="shared" si="27" ref="J225:J238">(G225/$G$807)*100</f>
        <v>2.7662874825792256</v>
      </c>
      <c r="K225" s="90"/>
    </row>
    <row r="226" spans="1:11" ht="15" customHeight="1">
      <c r="A226" s="165"/>
      <c r="B226" s="152"/>
      <c r="C226" s="4">
        <v>3030</v>
      </c>
      <c r="D226" s="4" t="s">
        <v>295</v>
      </c>
      <c r="E226" s="6">
        <v>55000</v>
      </c>
      <c r="F226" s="116">
        <f t="shared" si="26"/>
        <v>0.1897394404100515</v>
      </c>
      <c r="G226" s="30">
        <v>55000</v>
      </c>
      <c r="H226" s="84"/>
      <c r="I226" s="54">
        <f t="shared" si="25"/>
        <v>100</v>
      </c>
      <c r="J226" s="37">
        <f t="shared" si="27"/>
        <v>0.21828667366120144</v>
      </c>
      <c r="K226" s="90"/>
    </row>
    <row r="227" spans="1:11" ht="12.75">
      <c r="A227" s="165"/>
      <c r="B227" s="152"/>
      <c r="C227" s="4" t="s">
        <v>98</v>
      </c>
      <c r="D227" s="4" t="s">
        <v>85</v>
      </c>
      <c r="E227" s="6">
        <v>35000</v>
      </c>
      <c r="F227" s="116">
        <f t="shared" si="26"/>
        <v>0.12074328026094186</v>
      </c>
      <c r="G227" s="30">
        <v>35000</v>
      </c>
      <c r="H227" s="84"/>
      <c r="I227" s="54">
        <f t="shared" si="25"/>
        <v>100</v>
      </c>
      <c r="J227" s="37">
        <f t="shared" si="27"/>
        <v>0.13890970142076456</v>
      </c>
      <c r="K227" s="90"/>
    </row>
    <row r="228" spans="1:11" ht="17.25" customHeight="1">
      <c r="A228" s="165"/>
      <c r="B228" s="152"/>
      <c r="C228" s="4" t="s">
        <v>99</v>
      </c>
      <c r="D228" s="4" t="s">
        <v>73</v>
      </c>
      <c r="E228" s="6">
        <v>83000</v>
      </c>
      <c r="F228" s="116">
        <f t="shared" si="26"/>
        <v>0.286334064618805</v>
      </c>
      <c r="G228" s="30">
        <v>85000</v>
      </c>
      <c r="H228" s="84"/>
      <c r="I228" s="54">
        <f t="shared" si="25"/>
        <v>102.40963855421687</v>
      </c>
      <c r="J228" s="37">
        <f t="shared" si="27"/>
        <v>0.33735213202185677</v>
      </c>
      <c r="K228" s="90"/>
    </row>
    <row r="229" spans="1:11" ht="12.75">
      <c r="A229" s="165"/>
      <c r="B229" s="152"/>
      <c r="C229" s="4" t="s">
        <v>107</v>
      </c>
      <c r="D229" s="4" t="s">
        <v>74</v>
      </c>
      <c r="E229" s="6">
        <v>25000</v>
      </c>
      <c r="F229" s="116">
        <f t="shared" si="26"/>
        <v>0.08624520018638705</v>
      </c>
      <c r="G229" s="30">
        <v>25000</v>
      </c>
      <c r="H229" s="84"/>
      <c r="I229" s="54">
        <f t="shared" si="25"/>
        <v>100</v>
      </c>
      <c r="J229" s="37">
        <f t="shared" si="27"/>
        <v>0.0992212153005461</v>
      </c>
      <c r="K229" s="90"/>
    </row>
    <row r="230" spans="1:11" ht="12.75">
      <c r="A230" s="165"/>
      <c r="B230" s="152"/>
      <c r="C230" s="4">
        <v>4270</v>
      </c>
      <c r="D230" s="4" t="s">
        <v>76</v>
      </c>
      <c r="E230" s="6">
        <v>11250</v>
      </c>
      <c r="F230" s="116">
        <f t="shared" si="26"/>
        <v>0.03881034008387417</v>
      </c>
      <c r="G230" s="30">
        <v>12000</v>
      </c>
      <c r="H230" s="84"/>
      <c r="I230" s="54">
        <f t="shared" si="25"/>
        <v>106.66666666666667</v>
      </c>
      <c r="J230" s="37">
        <f t="shared" si="27"/>
        <v>0.047626183344262135</v>
      </c>
      <c r="K230" s="90"/>
    </row>
    <row r="231" spans="1:11" ht="16.5" customHeight="1">
      <c r="A231" s="165"/>
      <c r="B231" s="152"/>
      <c r="C231" s="4">
        <v>4280</v>
      </c>
      <c r="D231" s="4" t="s">
        <v>89</v>
      </c>
      <c r="E231" s="6">
        <v>8890</v>
      </c>
      <c r="F231" s="116">
        <f t="shared" si="26"/>
        <v>0.03066879318627923</v>
      </c>
      <c r="G231" s="30">
        <v>10000</v>
      </c>
      <c r="H231" s="84"/>
      <c r="I231" s="54">
        <f t="shared" si="25"/>
        <v>112.4859392575928</v>
      </c>
      <c r="J231" s="37">
        <f t="shared" si="27"/>
        <v>0.03968848612021845</v>
      </c>
      <c r="K231" s="90"/>
    </row>
    <row r="232" spans="1:11" ht="12.75">
      <c r="A232" s="165"/>
      <c r="B232" s="152"/>
      <c r="C232" s="4" t="s">
        <v>77</v>
      </c>
      <c r="D232" s="4" t="s">
        <v>86</v>
      </c>
      <c r="E232" s="6">
        <v>35000</v>
      </c>
      <c r="F232" s="116">
        <f t="shared" si="26"/>
        <v>0.12074328026094186</v>
      </c>
      <c r="G232" s="30">
        <v>38000</v>
      </c>
      <c r="H232" s="84"/>
      <c r="I232" s="54">
        <f t="shared" si="25"/>
        <v>108.57142857142857</v>
      </c>
      <c r="J232" s="37">
        <f t="shared" si="27"/>
        <v>0.15081624725683007</v>
      </c>
      <c r="K232" s="90"/>
    </row>
    <row r="233" spans="1:11" ht="12.75">
      <c r="A233" s="165"/>
      <c r="B233" s="152"/>
      <c r="C233" s="4" t="s">
        <v>108</v>
      </c>
      <c r="D233" s="4" t="s">
        <v>87</v>
      </c>
      <c r="E233" s="6">
        <v>17000</v>
      </c>
      <c r="F233" s="116">
        <f t="shared" si="26"/>
        <v>0.05864673612674319</v>
      </c>
      <c r="G233" s="30">
        <v>17000</v>
      </c>
      <c r="H233" s="84"/>
      <c r="I233" s="54">
        <f t="shared" si="25"/>
        <v>100</v>
      </c>
      <c r="J233" s="37">
        <f t="shared" si="27"/>
        <v>0.06747042640437136</v>
      </c>
      <c r="K233" s="90"/>
    </row>
    <row r="234" spans="1:11" ht="12.75">
      <c r="A234" s="165"/>
      <c r="B234" s="152"/>
      <c r="C234" s="4" t="s">
        <v>35</v>
      </c>
      <c r="D234" s="4" t="s">
        <v>54</v>
      </c>
      <c r="E234" s="6">
        <v>500</v>
      </c>
      <c r="F234" s="116">
        <f t="shared" si="26"/>
        <v>0.0017249040037277407</v>
      </c>
      <c r="G234" s="6">
        <v>420000</v>
      </c>
      <c r="H234" s="6"/>
      <c r="I234" s="54">
        <f t="shared" si="25"/>
        <v>84000</v>
      </c>
      <c r="J234" s="37">
        <f t="shared" si="27"/>
        <v>1.6669164170491746</v>
      </c>
      <c r="K234" s="90"/>
    </row>
    <row r="235" spans="1:11" ht="12.75">
      <c r="A235" s="165"/>
      <c r="B235" s="106"/>
      <c r="C235" s="140"/>
      <c r="D235" s="8" t="s">
        <v>398</v>
      </c>
      <c r="E235" s="11"/>
      <c r="F235" s="134"/>
      <c r="G235" s="11">
        <v>300000</v>
      </c>
      <c r="H235" s="11"/>
      <c r="I235" s="56"/>
      <c r="J235" s="136">
        <f t="shared" si="27"/>
        <v>1.1906545836065534</v>
      </c>
      <c r="K235" s="90"/>
    </row>
    <row r="236" spans="1:11" ht="12.75">
      <c r="A236" s="165"/>
      <c r="B236" s="106"/>
      <c r="C236" s="140"/>
      <c r="D236" s="8" t="s">
        <v>399</v>
      </c>
      <c r="E236" s="11"/>
      <c r="F236" s="134"/>
      <c r="G236" s="11">
        <v>100000</v>
      </c>
      <c r="H236" s="11"/>
      <c r="I236" s="56"/>
      <c r="J236" s="136">
        <f t="shared" si="27"/>
        <v>0.3968848612021844</v>
      </c>
      <c r="K236" s="90"/>
    </row>
    <row r="237" spans="1:11" ht="12.75">
      <c r="A237" s="165"/>
      <c r="B237" s="106"/>
      <c r="C237" s="140"/>
      <c r="D237" s="8" t="s">
        <v>418</v>
      </c>
      <c r="E237" s="11"/>
      <c r="F237" s="134"/>
      <c r="G237" s="11">
        <v>20000</v>
      </c>
      <c r="H237" s="11"/>
      <c r="I237" s="56"/>
      <c r="J237" s="136">
        <f t="shared" si="27"/>
        <v>0.0793769722404369</v>
      </c>
      <c r="K237" s="90"/>
    </row>
    <row r="238" spans="1:11" ht="12.75">
      <c r="A238" s="165"/>
      <c r="B238" s="150">
        <v>75421</v>
      </c>
      <c r="C238" s="51"/>
      <c r="D238" s="25" t="s">
        <v>239</v>
      </c>
      <c r="E238" s="26">
        <f>E240+E242+E239+E241</f>
        <v>0</v>
      </c>
      <c r="F238" s="116">
        <f t="shared" si="26"/>
        <v>0</v>
      </c>
      <c r="G238" s="26">
        <f>G240+G242+G239+G241</f>
        <v>80</v>
      </c>
      <c r="H238" s="26">
        <f>H240+H242+H239+H241</f>
        <v>0</v>
      </c>
      <c r="I238" s="54"/>
      <c r="J238" s="37">
        <f t="shared" si="27"/>
        <v>0.00031750788896174755</v>
      </c>
      <c r="K238" s="90"/>
    </row>
    <row r="239" spans="1:11" s="16" customFormat="1" ht="12.75">
      <c r="A239" s="165"/>
      <c r="B239" s="151"/>
      <c r="C239" s="47">
        <v>4170</v>
      </c>
      <c r="D239" s="4" t="s">
        <v>85</v>
      </c>
      <c r="E239" s="48"/>
      <c r="F239" s="116">
        <f t="shared" si="26"/>
        <v>0</v>
      </c>
      <c r="G239" s="48">
        <v>20</v>
      </c>
      <c r="H239" s="87"/>
      <c r="I239" s="54"/>
      <c r="J239" s="37"/>
      <c r="K239" s="90"/>
    </row>
    <row r="240" spans="1:11" s="13" customFormat="1" ht="12.75">
      <c r="A240" s="165"/>
      <c r="B240" s="170"/>
      <c r="C240" s="4">
        <v>4210</v>
      </c>
      <c r="D240" s="4" t="s">
        <v>73</v>
      </c>
      <c r="E240" s="48"/>
      <c r="F240" s="116">
        <f t="shared" si="26"/>
        <v>0</v>
      </c>
      <c r="G240" s="48">
        <v>20</v>
      </c>
      <c r="H240" s="87"/>
      <c r="I240" s="55"/>
      <c r="J240" s="37">
        <f>(G240/$G$807)*100</f>
        <v>7.937697224043689E-05</v>
      </c>
      <c r="K240" s="90"/>
    </row>
    <row r="241" spans="1:11" s="13" customFormat="1" ht="12.75">
      <c r="A241" s="165"/>
      <c r="B241" s="170"/>
      <c r="C241" s="4">
        <v>4270</v>
      </c>
      <c r="D241" s="4" t="s">
        <v>76</v>
      </c>
      <c r="E241" s="48"/>
      <c r="F241" s="116">
        <f t="shared" si="26"/>
        <v>0</v>
      </c>
      <c r="G241" s="48">
        <v>20</v>
      </c>
      <c r="H241" s="87"/>
      <c r="I241" s="55"/>
      <c r="J241" s="37"/>
      <c r="K241" s="90"/>
    </row>
    <row r="242" spans="1:11" ht="12.75">
      <c r="A242" s="165"/>
      <c r="B242" s="156"/>
      <c r="C242" s="4">
        <v>4300</v>
      </c>
      <c r="D242" s="4" t="s">
        <v>78</v>
      </c>
      <c r="E242" s="6"/>
      <c r="F242" s="116">
        <f t="shared" si="26"/>
        <v>0</v>
      </c>
      <c r="G242" s="30">
        <v>20</v>
      </c>
      <c r="H242" s="84"/>
      <c r="I242" s="54"/>
      <c r="J242" s="37">
        <f>(G242/$G$807)*100</f>
        <v>7.937697224043689E-05</v>
      </c>
      <c r="K242" s="90"/>
    </row>
    <row r="243" spans="1:11" ht="12.75">
      <c r="A243" s="165"/>
      <c r="B243" s="154">
        <v>75495</v>
      </c>
      <c r="C243" s="3"/>
      <c r="D243" s="3" t="s">
        <v>9</v>
      </c>
      <c r="E243" s="5">
        <f>E244</f>
        <v>10000</v>
      </c>
      <c r="F243" s="116">
        <f t="shared" si="26"/>
        <v>0.03449808007455482</v>
      </c>
      <c r="G243" s="5">
        <f>G244</f>
        <v>12000</v>
      </c>
      <c r="H243" s="5" t="e">
        <f>#REF!+#REF!</f>
        <v>#REF!</v>
      </c>
      <c r="I243" s="54">
        <f t="shared" si="25"/>
        <v>120</v>
      </c>
      <c r="J243" s="37">
        <f>(G243/$G$807)*100</f>
        <v>0.047626183344262135</v>
      </c>
      <c r="K243" s="90"/>
    </row>
    <row r="244" spans="1:11" s="128" customFormat="1" ht="12.75">
      <c r="A244" s="165"/>
      <c r="B244" s="154"/>
      <c r="C244" s="4">
        <v>4260</v>
      </c>
      <c r="D244" s="4" t="s">
        <v>74</v>
      </c>
      <c r="E244" s="6">
        <v>10000</v>
      </c>
      <c r="F244" s="116">
        <f t="shared" si="26"/>
        <v>0.03449808007455482</v>
      </c>
      <c r="G244" s="6">
        <v>12000</v>
      </c>
      <c r="H244" s="61"/>
      <c r="I244" s="54"/>
      <c r="J244" s="37"/>
      <c r="K244" s="127"/>
    </row>
    <row r="245" spans="1:11" s="128" customFormat="1" ht="12.75">
      <c r="A245" s="95"/>
      <c r="B245" s="3"/>
      <c r="C245" s="4"/>
      <c r="D245" s="8" t="s">
        <v>400</v>
      </c>
      <c r="E245" s="11">
        <v>10000</v>
      </c>
      <c r="F245" s="134"/>
      <c r="G245" s="11">
        <v>12000</v>
      </c>
      <c r="H245" s="60"/>
      <c r="I245" s="56"/>
      <c r="J245" s="136"/>
      <c r="K245" s="127"/>
    </row>
    <row r="246" spans="1:11" s="13" customFormat="1" ht="15" customHeight="1">
      <c r="A246" s="174" t="s">
        <v>151</v>
      </c>
      <c r="B246" s="3"/>
      <c r="C246" s="3"/>
      <c r="D246" s="3" t="s">
        <v>214</v>
      </c>
      <c r="E246" s="5">
        <f>E248+E250</f>
        <v>550000</v>
      </c>
      <c r="F246" s="116">
        <f t="shared" si="26"/>
        <v>1.897394404100515</v>
      </c>
      <c r="G246" s="5">
        <f>G248+G250</f>
        <v>540000</v>
      </c>
      <c r="H246" s="5" t="e">
        <f>H248</f>
        <v>#REF!</v>
      </c>
      <c r="I246" s="54">
        <f t="shared" si="25"/>
        <v>98.18181818181819</v>
      </c>
      <c r="J246" s="37">
        <f>(G246/$G$807)*100</f>
        <v>2.143178250491796</v>
      </c>
      <c r="K246" s="90"/>
    </row>
    <row r="247" spans="1:11" s="13" customFormat="1" ht="12.75">
      <c r="A247" s="175"/>
      <c r="B247" s="3"/>
      <c r="C247" s="3"/>
      <c r="D247" s="8" t="s">
        <v>225</v>
      </c>
      <c r="E247" s="6">
        <f>E249+E250</f>
        <v>550000</v>
      </c>
      <c r="F247" s="116">
        <f t="shared" si="26"/>
        <v>1.897394404100515</v>
      </c>
      <c r="G247" s="6">
        <f>G249+G250</f>
        <v>540000</v>
      </c>
      <c r="H247" s="6">
        <f>H249+H250</f>
        <v>0</v>
      </c>
      <c r="I247" s="54">
        <f t="shared" si="25"/>
        <v>98.18181818181819</v>
      </c>
      <c r="J247" s="37">
        <f>(G247/$G$807)*100</f>
        <v>2.143178250491796</v>
      </c>
      <c r="K247" s="90"/>
    </row>
    <row r="248" spans="1:11" ht="12.75">
      <c r="A248" s="165"/>
      <c r="B248" s="154" t="s">
        <v>148</v>
      </c>
      <c r="C248" s="4"/>
      <c r="D248" s="3" t="s">
        <v>288</v>
      </c>
      <c r="E248" s="5">
        <f>E249</f>
        <v>550000</v>
      </c>
      <c r="F248" s="116">
        <f t="shared" si="26"/>
        <v>1.897394404100515</v>
      </c>
      <c r="G248" s="5">
        <f>G249</f>
        <v>400000</v>
      </c>
      <c r="H248" s="5" t="e">
        <f>H249+#REF!</f>
        <v>#REF!</v>
      </c>
      <c r="I248" s="54">
        <f t="shared" si="25"/>
        <v>72.72727272727273</v>
      </c>
      <c r="J248" s="37">
        <f>(G248/$G$807)*100</f>
        <v>1.5875394448087377</v>
      </c>
      <c r="K248" s="90"/>
    </row>
    <row r="249" spans="1:11" ht="12.75">
      <c r="A249" s="165"/>
      <c r="B249" s="155"/>
      <c r="C249" s="4" t="s">
        <v>149</v>
      </c>
      <c r="D249" s="4" t="s">
        <v>150</v>
      </c>
      <c r="E249" s="6">
        <v>550000</v>
      </c>
      <c r="F249" s="116">
        <f t="shared" si="26"/>
        <v>1.897394404100515</v>
      </c>
      <c r="G249" s="30">
        <v>400000</v>
      </c>
      <c r="H249" s="84"/>
      <c r="I249" s="54">
        <f t="shared" si="25"/>
        <v>72.72727272727273</v>
      </c>
      <c r="J249" s="37">
        <f>(G249/$G$807)*100</f>
        <v>1.5875394448087377</v>
      </c>
      <c r="K249" s="90"/>
    </row>
    <row r="250" spans="1:11" ht="21">
      <c r="A250" s="163"/>
      <c r="B250" s="25">
        <v>75704</v>
      </c>
      <c r="C250" s="25"/>
      <c r="D250" s="25" t="s">
        <v>333</v>
      </c>
      <c r="E250" s="26">
        <f>E251</f>
        <v>0</v>
      </c>
      <c r="F250" s="116">
        <f t="shared" si="26"/>
        <v>0</v>
      </c>
      <c r="G250" s="26">
        <f>G251</f>
        <v>140000</v>
      </c>
      <c r="H250" s="26">
        <f>H251</f>
        <v>0</v>
      </c>
      <c r="I250" s="53"/>
      <c r="J250" s="37"/>
      <c r="K250" s="90"/>
    </row>
    <row r="251" spans="1:11" ht="12.75">
      <c r="A251" s="50"/>
      <c r="B251" s="4"/>
      <c r="C251" s="4">
        <v>8020</v>
      </c>
      <c r="D251" s="4" t="s">
        <v>334</v>
      </c>
      <c r="E251" s="6"/>
      <c r="F251" s="116">
        <f t="shared" si="26"/>
        <v>0</v>
      </c>
      <c r="G251" s="30">
        <v>140000</v>
      </c>
      <c r="H251" s="84"/>
      <c r="I251" s="54"/>
      <c r="J251" s="37"/>
      <c r="K251" s="90"/>
    </row>
    <row r="252" spans="1:12" s="13" customFormat="1" ht="12.75">
      <c r="A252" s="176" t="s">
        <v>153</v>
      </c>
      <c r="B252" s="50"/>
      <c r="C252" s="50"/>
      <c r="D252" s="3" t="s">
        <v>18</v>
      </c>
      <c r="E252" s="5">
        <f>E254</f>
        <v>0</v>
      </c>
      <c r="F252" s="116">
        <f t="shared" si="26"/>
        <v>0</v>
      </c>
      <c r="G252" s="5">
        <f>G254</f>
        <v>142423</v>
      </c>
      <c r="H252" s="5">
        <f>H254</f>
        <v>0</v>
      </c>
      <c r="I252" s="54"/>
      <c r="J252" s="37">
        <f aca="true" t="shared" si="28" ref="J252:J260">(G252/$G$807)*100</f>
        <v>0.5652553258699872</v>
      </c>
      <c r="L252" s="139"/>
    </row>
    <row r="253" spans="1:11" s="13" customFormat="1" ht="12.75">
      <c r="A253" s="176"/>
      <c r="B253" s="50"/>
      <c r="C253" s="50"/>
      <c r="D253" s="8" t="s">
        <v>225</v>
      </c>
      <c r="E253" s="6">
        <f>E255</f>
        <v>0</v>
      </c>
      <c r="F253" s="116">
        <f t="shared" si="26"/>
        <v>0</v>
      </c>
      <c r="G253" s="6">
        <f>G255</f>
        <v>142423</v>
      </c>
      <c r="H253" s="6">
        <f>H254</f>
        <v>0</v>
      </c>
      <c r="I253" s="54"/>
      <c r="J253" s="37">
        <f t="shared" si="28"/>
        <v>0.5652553258699872</v>
      </c>
      <c r="K253" s="90"/>
    </row>
    <row r="254" spans="1:11" ht="12.75">
      <c r="A254" s="157"/>
      <c r="B254" s="157">
        <v>75818</v>
      </c>
      <c r="C254" s="50"/>
      <c r="D254" s="50" t="s">
        <v>152</v>
      </c>
      <c r="E254" s="41">
        <f>E255</f>
        <v>0</v>
      </c>
      <c r="F254" s="116">
        <f t="shared" si="26"/>
        <v>0</v>
      </c>
      <c r="G254" s="41">
        <f>G255</f>
        <v>142423</v>
      </c>
      <c r="H254" s="41">
        <f>H255</f>
        <v>0</v>
      </c>
      <c r="I254" s="54"/>
      <c r="J254" s="37">
        <f t="shared" si="28"/>
        <v>0.5652553258699872</v>
      </c>
      <c r="K254" s="90"/>
    </row>
    <row r="255" spans="1:11" ht="12.75">
      <c r="A255" s="157"/>
      <c r="B255" s="157"/>
      <c r="C255" s="36">
        <v>4810</v>
      </c>
      <c r="D255" s="36" t="s">
        <v>152</v>
      </c>
      <c r="E255" s="26">
        <f>E256+E257+E258</f>
        <v>0</v>
      </c>
      <c r="F255" s="116">
        <f t="shared" si="26"/>
        <v>0</v>
      </c>
      <c r="G255" s="26">
        <f>G256+G257+G258</f>
        <v>142423</v>
      </c>
      <c r="H255" s="30">
        <f>H256+H257+H258</f>
        <v>0</v>
      </c>
      <c r="I255" s="54"/>
      <c r="J255" s="37">
        <f t="shared" si="28"/>
        <v>0.5652553258699872</v>
      </c>
      <c r="K255" s="90"/>
    </row>
    <row r="256" spans="1:11" ht="12.75">
      <c r="A256" s="50"/>
      <c r="B256" s="50"/>
      <c r="C256" s="36"/>
      <c r="D256" s="36" t="s">
        <v>262</v>
      </c>
      <c r="E256" s="6">
        <v>0</v>
      </c>
      <c r="F256" s="116">
        <f t="shared" si="26"/>
        <v>0</v>
      </c>
      <c r="G256" s="30">
        <v>44000</v>
      </c>
      <c r="H256" s="84"/>
      <c r="I256" s="54"/>
      <c r="J256" s="37">
        <f t="shared" si="28"/>
        <v>0.17462933892896115</v>
      </c>
      <c r="K256" s="90"/>
    </row>
    <row r="257" spans="1:11" ht="12.75">
      <c r="A257" s="50"/>
      <c r="B257" s="50"/>
      <c r="C257" s="36"/>
      <c r="D257" s="57" t="s">
        <v>260</v>
      </c>
      <c r="E257" s="28">
        <v>0</v>
      </c>
      <c r="F257" s="116">
        <f t="shared" si="26"/>
        <v>0</v>
      </c>
      <c r="G257" s="29">
        <v>22423</v>
      </c>
      <c r="H257" s="86"/>
      <c r="I257" s="54"/>
      <c r="J257" s="37">
        <f t="shared" si="28"/>
        <v>0.08899349242736582</v>
      </c>
      <c r="K257" s="139"/>
    </row>
    <row r="258" spans="1:11" ht="12.75">
      <c r="A258" s="50"/>
      <c r="B258" s="50"/>
      <c r="C258" s="36"/>
      <c r="D258" s="57" t="s">
        <v>261</v>
      </c>
      <c r="E258" s="28">
        <v>0</v>
      </c>
      <c r="F258" s="116">
        <f aca="true" t="shared" si="29" ref="F258:F267">(E258/$E$807)*100</f>
        <v>0</v>
      </c>
      <c r="G258" s="29">
        <v>76000</v>
      </c>
      <c r="H258" s="86"/>
      <c r="I258" s="54"/>
      <c r="J258" s="37">
        <f t="shared" si="28"/>
        <v>0.30163249451366014</v>
      </c>
      <c r="K258" s="139"/>
    </row>
    <row r="259" spans="1:14" ht="15" customHeight="1">
      <c r="A259" s="176" t="s">
        <v>55</v>
      </c>
      <c r="B259" s="50"/>
      <c r="C259" s="50"/>
      <c r="D259" s="3" t="s">
        <v>19</v>
      </c>
      <c r="E259" s="5">
        <f>E266+E313+E317+E348+E350+E388+E401+E423+E445+E467+E482+E471</f>
        <v>8747607.78</v>
      </c>
      <c r="F259" s="116">
        <f t="shared" si="29"/>
        <v>30.177567365523867</v>
      </c>
      <c r="G259" s="5">
        <f>G266+G313+G317+G348+G350+G388+G401+G423+G445+G467+G482+G471</f>
        <v>8895008.84</v>
      </c>
      <c r="H259" s="5" t="e">
        <f>H266+H313+H317+H348+H350+H388+H401+H423+#REF!+H445+#REF!+H467+H482+H471</f>
        <v>#REF!</v>
      </c>
      <c r="I259" s="54">
        <f t="shared" si="25"/>
        <v>101.68504422817183</v>
      </c>
      <c r="J259" s="37">
        <f t="shared" si="28"/>
        <v>35.30294348855604</v>
      </c>
      <c r="K259" s="139"/>
      <c r="L259" s="13"/>
      <c r="M259" s="13"/>
      <c r="N259" s="13"/>
    </row>
    <row r="260" spans="1:11" ht="12.75">
      <c r="A260" s="176"/>
      <c r="B260" s="50"/>
      <c r="C260" s="50"/>
      <c r="D260" s="8" t="s">
        <v>225</v>
      </c>
      <c r="E260" s="6">
        <f>E259-E262</f>
        <v>8593107.78</v>
      </c>
      <c r="F260" s="116">
        <f t="shared" si="29"/>
        <v>29.644572028371996</v>
      </c>
      <c r="G260" s="6">
        <f>G259-G262</f>
        <v>8812008.84</v>
      </c>
      <c r="H260" s="6" t="e">
        <f>H259-H262</f>
        <v>#REF!</v>
      </c>
      <c r="I260" s="54">
        <f t="shared" si="25"/>
        <v>102.54740270463594</v>
      </c>
      <c r="J260" s="37">
        <f t="shared" si="28"/>
        <v>34.97352905375822</v>
      </c>
      <c r="K260" s="90"/>
    </row>
    <row r="261" spans="1:11" ht="12.75">
      <c r="A261" s="176"/>
      <c r="B261" s="50"/>
      <c r="C261" s="50"/>
      <c r="D261" s="8" t="s">
        <v>329</v>
      </c>
      <c r="E261" s="6">
        <f>E275+E276+E279+E280+E282+E283+E285+E286+E288+E289+E291+E297+E298+E356+E357+E360+E361+E363+E364+E366+E367+E369+E370+E372+E373+E378+E379</f>
        <v>503440.69</v>
      </c>
      <c r="F261" s="116">
        <f t="shared" si="29"/>
        <v>1.7367737236409129</v>
      </c>
      <c r="G261" s="6">
        <f>G275+G276+G279+G280+G282+G283+G285+G286+G288+G289+G291+G297+G298+G356+G357+G360+G361+G363+G364+G366+G367+G369+G370+G372+G373+G378+G379</f>
        <v>212546.2</v>
      </c>
      <c r="H261" s="6"/>
      <c r="I261" s="54">
        <f t="shared" si="25"/>
        <v>42.21871696544831</v>
      </c>
      <c r="J261" s="37"/>
      <c r="K261" s="90"/>
    </row>
    <row r="262" spans="1:11" ht="12.75">
      <c r="A262" s="176"/>
      <c r="B262" s="50"/>
      <c r="C262" s="50"/>
      <c r="D262" s="8" t="s">
        <v>226</v>
      </c>
      <c r="E262" s="6">
        <f>E268+E319+E351+E446</f>
        <v>154500</v>
      </c>
      <c r="F262" s="116">
        <f t="shared" si="29"/>
        <v>0.532995337151872</v>
      </c>
      <c r="G262" s="6">
        <f>G268+G319+G351+G446</f>
        <v>83000</v>
      </c>
      <c r="H262" s="6" t="e">
        <f>H268+H319+H351+H446</f>
        <v>#REF!</v>
      </c>
      <c r="I262" s="54">
        <f t="shared" si="25"/>
        <v>53.72168284789643</v>
      </c>
      <c r="J262" s="37">
        <f>(G262/$G$807)*100</f>
        <v>0.32941443479781307</v>
      </c>
      <c r="K262" s="90"/>
    </row>
    <row r="263" spans="1:11" ht="12.75">
      <c r="A263" s="176"/>
      <c r="B263" s="50"/>
      <c r="C263" s="50"/>
      <c r="D263" s="8" t="s">
        <v>331</v>
      </c>
      <c r="E263" s="6">
        <f>E311+E30</f>
        <v>30</v>
      </c>
      <c r="F263" s="116">
        <f t="shared" si="29"/>
        <v>0.00010349424022366446</v>
      </c>
      <c r="G263" s="6">
        <f>G311+G312</f>
        <v>0</v>
      </c>
      <c r="H263" s="6"/>
      <c r="I263" s="54">
        <f t="shared" si="25"/>
        <v>0</v>
      </c>
      <c r="J263" s="37"/>
      <c r="K263" s="90"/>
    </row>
    <row r="264" spans="1:11" ht="12.75">
      <c r="A264" s="176"/>
      <c r="B264" s="50"/>
      <c r="C264" s="50"/>
      <c r="D264" s="24" t="s">
        <v>389</v>
      </c>
      <c r="E264" s="28">
        <f>E260+E262</f>
        <v>8747607.78</v>
      </c>
      <c r="F264" s="116">
        <f t="shared" si="29"/>
        <v>30.177567365523867</v>
      </c>
      <c r="G264" s="28">
        <f>G260+G262</f>
        <v>8895008.84</v>
      </c>
      <c r="H264" s="28" t="e">
        <f>SUM(H260:H262)</f>
        <v>#REF!</v>
      </c>
      <c r="I264" s="54">
        <f t="shared" si="25"/>
        <v>101.68504422817183</v>
      </c>
      <c r="J264" s="37">
        <f aca="true" t="shared" si="30" ref="J264:J272">(G264/$G$807)*100</f>
        <v>35.30294348855604</v>
      </c>
      <c r="K264" s="90"/>
    </row>
    <row r="265" spans="1:11" ht="12.75">
      <c r="A265" s="176"/>
      <c r="B265" s="50"/>
      <c r="C265" s="50"/>
      <c r="D265" s="8" t="s">
        <v>390</v>
      </c>
      <c r="E265" s="6">
        <f>E270+E314+E320</f>
        <v>1293388.94</v>
      </c>
      <c r="F265" s="116">
        <f t="shared" si="29"/>
        <v>4.461943521966358</v>
      </c>
      <c r="G265" s="6">
        <f>G270+G314+G320</f>
        <v>1629315.93</v>
      </c>
      <c r="H265" s="6">
        <f>H270+H314+H320</f>
        <v>0</v>
      </c>
      <c r="I265" s="54">
        <f t="shared" si="25"/>
        <v>125.97261965144067</v>
      </c>
      <c r="J265" s="37">
        <f t="shared" si="30"/>
        <v>6.466508267325581</v>
      </c>
      <c r="K265" s="90"/>
    </row>
    <row r="266" spans="1:11" ht="12.75">
      <c r="A266" s="176"/>
      <c r="B266" s="158">
        <v>80101</v>
      </c>
      <c r="C266" s="50"/>
      <c r="D266" s="3" t="s">
        <v>56</v>
      </c>
      <c r="E266" s="5">
        <f>E270+E273+E274+E275+E276+E277+E278+E279+E280+E281+E282+E283+E284+E285+E286+E287+E288+E289+E290+E291+E292+E293+E294+E295+E296+E297+E298+E299+E300+E301+E302+E303+E306++E305+E304+E311+E312+E310</f>
        <v>3401843.78</v>
      </c>
      <c r="F266" s="116">
        <f t="shared" si="29"/>
        <v>11.735707912356624</v>
      </c>
      <c r="G266" s="5">
        <f>G270+G273+G274+G275+G276+G277+G278+G279+G280+G281+G282+G283+G284+G285+G286+G287+G288+G289+G290+G291+G292+G293+G294+G295+G296+G297+G298+G299+G300+G301+G302+G303+G306++G305+G304+G311+G312+G310</f>
        <v>3564596.4</v>
      </c>
      <c r="H266" s="5" t="e">
        <f>H270+H273+H274+H277+H278+H281+H284+H287+H290+H293+H294+H296+H299+H301+H302+H303+H300+H295+#REF!+H306++H305+H291+H292+H297+H298+H304+H275+H276+H279+H280+H282+H283+H285+H286+H288+H289+H311+H312</f>
        <v>#REF!</v>
      </c>
      <c r="I266" s="54">
        <f t="shared" si="25"/>
        <v>104.78424732366753</v>
      </c>
      <c r="J266" s="37">
        <f t="shared" si="30"/>
        <v>14.147343474558063</v>
      </c>
      <c r="K266" s="90"/>
    </row>
    <row r="267" spans="1:11" ht="12.75">
      <c r="A267" s="176"/>
      <c r="B267" s="165"/>
      <c r="C267" s="50"/>
      <c r="D267" s="3" t="s">
        <v>268</v>
      </c>
      <c r="E267" s="5">
        <f>E270+E273+E274+E275+E276+E277+E278+E279+E280+E281+E282+E283+E284+E285+E286+E287+E288+E289+E290+E291+E292+E293+E294+E295+E296+E297+E298+E299+E300+E301+E302+E303+E304+E305</f>
        <v>3247843.78</v>
      </c>
      <c r="F267" s="116">
        <f t="shared" si="29"/>
        <v>11.20443747920848</v>
      </c>
      <c r="G267" s="5">
        <f>G270+G273+G274+G275+G276+G277+G278+G279+G280+G281+G282+G283+G284+G285+G286+G287+G288+G289+G290+G291+G292+G293+G294+G295+G296+G297+G298+G299+G300+G301+G302+G303+G304+G305</f>
        <v>3564596.4</v>
      </c>
      <c r="H267" s="85"/>
      <c r="I267" s="54">
        <f t="shared" si="25"/>
        <v>109.7527049161213</v>
      </c>
      <c r="J267" s="37">
        <f t="shared" si="30"/>
        <v>14.147343474558063</v>
      </c>
      <c r="K267" s="90"/>
    </row>
    <row r="268" spans="1:11" ht="12.75">
      <c r="A268" s="176"/>
      <c r="B268" s="165"/>
      <c r="C268" s="50"/>
      <c r="D268" s="3" t="s">
        <v>269</v>
      </c>
      <c r="E268" s="5">
        <f>E306+E311+E312+E310</f>
        <v>154000</v>
      </c>
      <c r="F268" s="5">
        <f>F306+F311+F312+F310</f>
        <v>0.42432638491702424</v>
      </c>
      <c r="G268" s="5">
        <f>G306+G311+G312+G310</f>
        <v>0</v>
      </c>
      <c r="H268" s="5">
        <f>H306+H311+H312</f>
        <v>0</v>
      </c>
      <c r="I268" s="54">
        <f t="shared" si="25"/>
        <v>0</v>
      </c>
      <c r="J268" s="37">
        <f t="shared" si="30"/>
        <v>0</v>
      </c>
      <c r="K268" s="90"/>
    </row>
    <row r="269" spans="1:11" ht="12.75">
      <c r="A269" s="176"/>
      <c r="B269" s="165"/>
      <c r="C269" s="50"/>
      <c r="D269" s="3" t="s">
        <v>406</v>
      </c>
      <c r="E269" s="5">
        <f>SUM(E267:E268)</f>
        <v>3401843.78</v>
      </c>
      <c r="F269" s="5"/>
      <c r="G269" s="5">
        <f>SUM(G267:G268)</f>
        <v>3564596.4</v>
      </c>
      <c r="H269" s="85"/>
      <c r="I269" s="54"/>
      <c r="J269" s="37"/>
      <c r="K269" s="90"/>
    </row>
    <row r="270" spans="1:11" ht="21.75" customHeight="1">
      <c r="A270" s="176"/>
      <c r="B270" s="159"/>
      <c r="C270" s="36">
        <v>2590</v>
      </c>
      <c r="D270" s="4" t="s">
        <v>312</v>
      </c>
      <c r="E270" s="6">
        <v>817275.55</v>
      </c>
      <c r="F270" s="116">
        <f aca="true" t="shared" si="31" ref="F270:F309">(E270/$E$807)*100</f>
        <v>2.819443736687583</v>
      </c>
      <c r="G270" s="30">
        <v>927326.4</v>
      </c>
      <c r="H270" s="84"/>
      <c r="I270" s="54">
        <f t="shared" si="25"/>
        <v>113.4655747379204</v>
      </c>
      <c r="J270" s="37">
        <f t="shared" si="30"/>
        <v>3.680418095531214</v>
      </c>
      <c r="K270" s="90"/>
    </row>
    <row r="271" spans="1:11" ht="14.25" customHeight="1">
      <c r="A271" s="176"/>
      <c r="B271" s="159"/>
      <c r="C271" s="36"/>
      <c r="D271" s="25" t="s">
        <v>342</v>
      </c>
      <c r="E271" s="28">
        <v>415566.45</v>
      </c>
      <c r="F271" s="116">
        <f t="shared" si="31"/>
        <v>1.4336244668398481</v>
      </c>
      <c r="G271" s="142">
        <v>457641.6</v>
      </c>
      <c r="H271" s="86"/>
      <c r="I271" s="54">
        <f t="shared" si="25"/>
        <v>110.12477065942161</v>
      </c>
      <c r="J271" s="37">
        <f t="shared" si="30"/>
        <v>1.816310228963456</v>
      </c>
      <c r="K271" s="90"/>
    </row>
    <row r="272" spans="1:11" ht="13.5" customHeight="1">
      <c r="A272" s="176"/>
      <c r="B272" s="159"/>
      <c r="C272" s="36"/>
      <c r="D272" s="25" t="s">
        <v>343</v>
      </c>
      <c r="E272" s="28">
        <v>401809.1</v>
      </c>
      <c r="F272" s="116">
        <f t="shared" si="31"/>
        <v>1.3861642506484804</v>
      </c>
      <c r="G272" s="29">
        <v>469684.8</v>
      </c>
      <c r="H272" s="86"/>
      <c r="I272" s="54">
        <f t="shared" si="25"/>
        <v>116.89252433556135</v>
      </c>
      <c r="J272" s="37">
        <f t="shared" si="30"/>
        <v>1.8641078665677577</v>
      </c>
      <c r="K272" s="90"/>
    </row>
    <row r="273" spans="1:11" ht="21.75" customHeight="1">
      <c r="A273" s="176"/>
      <c r="B273" s="159"/>
      <c r="C273" s="36">
        <v>3020</v>
      </c>
      <c r="D273" s="4" t="s">
        <v>154</v>
      </c>
      <c r="E273" s="6">
        <v>91248</v>
      </c>
      <c r="F273" s="116">
        <f t="shared" si="31"/>
        <v>0.3147880810642978</v>
      </c>
      <c r="G273" s="30">
        <v>97168</v>
      </c>
      <c r="H273" s="84"/>
      <c r="I273" s="54">
        <f t="shared" si="25"/>
        <v>106.48781343152727</v>
      </c>
      <c r="J273" s="37">
        <f aca="true" t="shared" si="32" ref="J273:J307">(G273/$G$807)*100</f>
        <v>0.3856450819329386</v>
      </c>
      <c r="K273" s="90"/>
    </row>
    <row r="274" spans="1:11" ht="12.75">
      <c r="A274" s="176"/>
      <c r="B274" s="159"/>
      <c r="C274" s="36">
        <v>4010</v>
      </c>
      <c r="D274" s="4" t="s">
        <v>93</v>
      </c>
      <c r="E274" s="6">
        <v>1325000</v>
      </c>
      <c r="F274" s="116">
        <f t="shared" si="31"/>
        <v>4.570995609878514</v>
      </c>
      <c r="G274" s="30">
        <v>1313923</v>
      </c>
      <c r="H274" s="84"/>
      <c r="I274" s="54">
        <f t="shared" si="25"/>
        <v>99.164</v>
      </c>
      <c r="J274" s="37">
        <f t="shared" si="32"/>
        <v>5.214761474853578</v>
      </c>
      <c r="K274" s="90"/>
    </row>
    <row r="275" spans="1:11" ht="12.75">
      <c r="A275" s="176"/>
      <c r="B275" s="159"/>
      <c r="C275" s="36">
        <v>4017</v>
      </c>
      <c r="D275" s="4" t="s">
        <v>93</v>
      </c>
      <c r="E275" s="6">
        <v>47289.51</v>
      </c>
      <c r="F275" s="116">
        <f t="shared" si="31"/>
        <v>0.16313973026664608</v>
      </c>
      <c r="G275" s="30">
        <v>13232</v>
      </c>
      <c r="H275" s="84"/>
      <c r="I275" s="54">
        <f t="shared" si="25"/>
        <v>27.980835496075134</v>
      </c>
      <c r="J275" s="37">
        <f t="shared" si="32"/>
        <v>0.05251580483427305</v>
      </c>
      <c r="K275" s="90"/>
    </row>
    <row r="276" spans="1:11" ht="12.75">
      <c r="A276" s="176"/>
      <c r="B276" s="159"/>
      <c r="C276" s="36">
        <v>4019</v>
      </c>
      <c r="D276" s="4" t="s">
        <v>93</v>
      </c>
      <c r="E276" s="6">
        <v>8246.95</v>
      </c>
      <c r="F276" s="116">
        <f t="shared" si="31"/>
        <v>0.028450394147084987</v>
      </c>
      <c r="G276" s="30">
        <v>2441</v>
      </c>
      <c r="H276" s="84"/>
      <c r="I276" s="54">
        <f t="shared" si="25"/>
        <v>29.59882138245048</v>
      </c>
      <c r="J276" s="37">
        <f t="shared" si="32"/>
        <v>0.009687959461945322</v>
      </c>
      <c r="K276" s="90"/>
    </row>
    <row r="277" spans="1:11" ht="12.75">
      <c r="A277" s="176"/>
      <c r="B277" s="159"/>
      <c r="C277" s="36">
        <v>4040</v>
      </c>
      <c r="D277" s="4" t="s">
        <v>95</v>
      </c>
      <c r="E277" s="6">
        <v>102640</v>
      </c>
      <c r="F277" s="116">
        <f t="shared" si="31"/>
        <v>0.35408829388523066</v>
      </c>
      <c r="G277" s="30">
        <v>108670</v>
      </c>
      <c r="H277" s="84"/>
      <c r="I277" s="54">
        <f t="shared" si="25"/>
        <v>105.87490257209664</v>
      </c>
      <c r="J277" s="37">
        <f t="shared" si="32"/>
        <v>0.4312947786684138</v>
      </c>
      <c r="K277" s="90"/>
    </row>
    <row r="278" spans="1:11" ht="12.75">
      <c r="A278" s="176"/>
      <c r="B278" s="159"/>
      <c r="C278" s="36">
        <v>4110</v>
      </c>
      <c r="D278" s="4" t="s">
        <v>83</v>
      </c>
      <c r="E278" s="6">
        <v>255760</v>
      </c>
      <c r="F278" s="116">
        <f t="shared" si="31"/>
        <v>0.882322895986814</v>
      </c>
      <c r="G278" s="30">
        <v>270383</v>
      </c>
      <c r="H278" s="84"/>
      <c r="I278" s="54">
        <f t="shared" si="25"/>
        <v>105.71746950265874</v>
      </c>
      <c r="J278" s="37">
        <f t="shared" si="32"/>
        <v>1.0731091942643025</v>
      </c>
      <c r="K278" s="90"/>
    </row>
    <row r="279" spans="1:11" ht="12.75">
      <c r="A279" s="176"/>
      <c r="B279" s="159"/>
      <c r="C279" s="36">
        <v>4117</v>
      </c>
      <c r="D279" s="4" t="s">
        <v>83</v>
      </c>
      <c r="E279" s="6">
        <v>9839.79</v>
      </c>
      <c r="F279" s="116">
        <f t="shared" si="31"/>
        <v>0.033945386333680376</v>
      </c>
      <c r="G279" s="30">
        <v>2395</v>
      </c>
      <c r="H279" s="84"/>
      <c r="I279" s="54">
        <f t="shared" si="25"/>
        <v>24.33995034446873</v>
      </c>
      <c r="J279" s="37">
        <f t="shared" si="32"/>
        <v>0.009505392425792318</v>
      </c>
      <c r="K279" s="90"/>
    </row>
    <row r="280" spans="1:11" ht="12.75">
      <c r="A280" s="176"/>
      <c r="B280" s="159"/>
      <c r="C280" s="36">
        <v>4119</v>
      </c>
      <c r="D280" s="4" t="s">
        <v>83</v>
      </c>
      <c r="E280" s="6">
        <v>1719.46</v>
      </c>
      <c r="F280" s="116">
        <f t="shared" si="31"/>
        <v>0.005931806876499403</v>
      </c>
      <c r="G280" s="30">
        <v>413</v>
      </c>
      <c r="H280" s="84"/>
      <c r="I280" s="54">
        <f t="shared" si="25"/>
        <v>24.01916880881207</v>
      </c>
      <c r="J280" s="37">
        <f t="shared" si="32"/>
        <v>0.001639134476765022</v>
      </c>
      <c r="K280" s="90"/>
    </row>
    <row r="281" spans="1:11" ht="12.75">
      <c r="A281" s="176"/>
      <c r="B281" s="159"/>
      <c r="C281" s="36">
        <v>4120</v>
      </c>
      <c r="D281" s="4" t="s">
        <v>104</v>
      </c>
      <c r="E281" s="6">
        <v>30200</v>
      </c>
      <c r="F281" s="116">
        <f t="shared" si="31"/>
        <v>0.10418420182515555</v>
      </c>
      <c r="G281" s="30">
        <v>38536</v>
      </c>
      <c r="H281" s="84"/>
      <c r="I281" s="54">
        <f t="shared" si="25"/>
        <v>127.60264900662253</v>
      </c>
      <c r="J281" s="37">
        <f t="shared" si="32"/>
        <v>0.15294355011287378</v>
      </c>
      <c r="K281" s="90"/>
    </row>
    <row r="282" spans="1:11" ht="12.75">
      <c r="A282" s="176"/>
      <c r="B282" s="159"/>
      <c r="C282" s="36">
        <v>4127</v>
      </c>
      <c r="D282" s="4" t="s">
        <v>104</v>
      </c>
      <c r="E282" s="6">
        <v>1322.15</v>
      </c>
      <c r="F282" s="116">
        <f t="shared" si="31"/>
        <v>0.004561163657057265</v>
      </c>
      <c r="G282" s="30">
        <v>350</v>
      </c>
      <c r="H282" s="84"/>
      <c r="I282" s="54">
        <f t="shared" si="25"/>
        <v>26.47203418674129</v>
      </c>
      <c r="J282" s="37">
        <f t="shared" si="32"/>
        <v>0.0013890970142076456</v>
      </c>
      <c r="K282" s="90"/>
    </row>
    <row r="283" spans="1:11" ht="12.75">
      <c r="A283" s="176"/>
      <c r="B283" s="159"/>
      <c r="C283" s="36">
        <v>4129</v>
      </c>
      <c r="D283" s="4" t="s">
        <v>104</v>
      </c>
      <c r="E283" s="6">
        <v>230.91</v>
      </c>
      <c r="F283" s="116">
        <f t="shared" si="31"/>
        <v>0.0007965951670015452</v>
      </c>
      <c r="G283" s="30">
        <v>69</v>
      </c>
      <c r="H283" s="84"/>
      <c r="I283" s="54">
        <f t="shared" si="25"/>
        <v>29.881772119007405</v>
      </c>
      <c r="J283" s="37">
        <f t="shared" si="32"/>
        <v>0.00027385055422950725</v>
      </c>
      <c r="K283" s="90"/>
    </row>
    <row r="284" spans="1:11" ht="12.75">
      <c r="A284" s="176"/>
      <c r="B284" s="159"/>
      <c r="C284" s="36">
        <v>4170</v>
      </c>
      <c r="D284" s="4" t="s">
        <v>156</v>
      </c>
      <c r="E284" s="6">
        <v>7000</v>
      </c>
      <c r="F284" s="116">
        <f t="shared" si="31"/>
        <v>0.024148656052188373</v>
      </c>
      <c r="G284" s="30">
        <v>9000</v>
      </c>
      <c r="H284" s="84"/>
      <c r="I284" s="54">
        <f t="shared" si="25"/>
        <v>128.57142857142858</v>
      </c>
      <c r="J284" s="37">
        <f t="shared" si="32"/>
        <v>0.0357196375081966</v>
      </c>
      <c r="K284" s="90"/>
    </row>
    <row r="285" spans="1:11" ht="12.75">
      <c r="A285" s="176"/>
      <c r="B285" s="159"/>
      <c r="C285" s="36">
        <v>4177</v>
      </c>
      <c r="D285" s="4" t="s">
        <v>156</v>
      </c>
      <c r="E285" s="6">
        <v>25882</v>
      </c>
      <c r="F285" s="116">
        <f t="shared" si="31"/>
        <v>0.08928793084896278</v>
      </c>
      <c r="G285" s="30"/>
      <c r="H285" s="84"/>
      <c r="I285" s="54">
        <f t="shared" si="25"/>
        <v>0</v>
      </c>
      <c r="J285" s="37">
        <f t="shared" si="32"/>
        <v>0</v>
      </c>
      <c r="K285" s="90"/>
    </row>
    <row r="286" spans="1:11" ht="12.75">
      <c r="A286" s="176"/>
      <c r="B286" s="159"/>
      <c r="C286" s="36">
        <v>4179</v>
      </c>
      <c r="D286" s="4" t="s">
        <v>156</v>
      </c>
      <c r="E286" s="6">
        <v>4849.76</v>
      </c>
      <c r="F286" s="116">
        <f t="shared" si="31"/>
        <v>0.016730740882237298</v>
      </c>
      <c r="G286" s="30"/>
      <c r="H286" s="84"/>
      <c r="I286" s="54">
        <f t="shared" si="25"/>
        <v>0</v>
      </c>
      <c r="J286" s="37">
        <f t="shared" si="32"/>
        <v>0</v>
      </c>
      <c r="K286" s="90"/>
    </row>
    <row r="287" spans="1:11" ht="12.75">
      <c r="A287" s="176"/>
      <c r="B287" s="159"/>
      <c r="C287" s="36">
        <v>4210</v>
      </c>
      <c r="D287" s="4" t="s">
        <v>73</v>
      </c>
      <c r="E287" s="6">
        <v>102300</v>
      </c>
      <c r="F287" s="116">
        <f t="shared" si="31"/>
        <v>0.3529153591626958</v>
      </c>
      <c r="G287" s="30">
        <v>405640</v>
      </c>
      <c r="H287" s="84"/>
      <c r="I287" s="54">
        <f t="shared" si="25"/>
        <v>396.5200391006843</v>
      </c>
      <c r="J287" s="37">
        <f t="shared" si="32"/>
        <v>1.6099237509805409</v>
      </c>
      <c r="K287" s="90"/>
    </row>
    <row r="288" spans="1:11" ht="12.75">
      <c r="A288" s="176"/>
      <c r="B288" s="159"/>
      <c r="C288" s="36">
        <v>4217</v>
      </c>
      <c r="D288" s="4" t="s">
        <v>73</v>
      </c>
      <c r="E288" s="6">
        <v>6008.07</v>
      </c>
      <c r="F288" s="116">
        <f t="shared" si="31"/>
        <v>0.020726687995353058</v>
      </c>
      <c r="G288" s="30">
        <v>2057</v>
      </c>
      <c r="H288" s="84"/>
      <c r="I288" s="54">
        <f t="shared" si="25"/>
        <v>34.237284186103025</v>
      </c>
      <c r="J288" s="37">
        <f t="shared" si="32"/>
        <v>0.008163921594928934</v>
      </c>
      <c r="K288" s="90"/>
    </row>
    <row r="289" spans="1:11" ht="12.75">
      <c r="A289" s="176"/>
      <c r="B289" s="159"/>
      <c r="C289" s="36">
        <v>4219</v>
      </c>
      <c r="D289" s="4" t="s">
        <v>73</v>
      </c>
      <c r="E289" s="6">
        <v>848.49</v>
      </c>
      <c r="F289" s="116">
        <f t="shared" si="31"/>
        <v>0.002927127596245902</v>
      </c>
      <c r="G289" s="30">
        <v>363</v>
      </c>
      <c r="H289" s="84"/>
      <c r="I289" s="54">
        <f t="shared" si="25"/>
        <v>42.781883109995405</v>
      </c>
      <c r="J289" s="37">
        <f t="shared" si="32"/>
        <v>0.0014406920461639296</v>
      </c>
      <c r="K289" s="90"/>
    </row>
    <row r="290" spans="1:11" ht="23.25" customHeight="1">
      <c r="A290" s="176"/>
      <c r="B290" s="159"/>
      <c r="C290" s="36">
        <v>4240</v>
      </c>
      <c r="D290" s="4" t="s">
        <v>157</v>
      </c>
      <c r="E290" s="6">
        <v>13000</v>
      </c>
      <c r="F290" s="116">
        <f t="shared" si="31"/>
        <v>0.044847504096921266</v>
      </c>
      <c r="G290" s="30">
        <v>16000</v>
      </c>
      <c r="H290" s="84"/>
      <c r="I290" s="54">
        <f t="shared" si="25"/>
        <v>123.07692307692308</v>
      </c>
      <c r="J290" s="37">
        <f t="shared" si="32"/>
        <v>0.06350157779234951</v>
      </c>
      <c r="K290" s="90"/>
    </row>
    <row r="291" spans="1:11" ht="27" customHeight="1">
      <c r="A291" s="176"/>
      <c r="B291" s="159"/>
      <c r="C291" s="36">
        <v>4247</v>
      </c>
      <c r="D291" s="4" t="s">
        <v>157</v>
      </c>
      <c r="E291" s="6">
        <v>14317.06</v>
      </c>
      <c r="F291" s="116">
        <f t="shared" si="31"/>
        <v>0.049391108231220573</v>
      </c>
      <c r="G291" s="30"/>
      <c r="H291" s="84"/>
      <c r="I291" s="54"/>
      <c r="J291" s="37">
        <f t="shared" si="32"/>
        <v>0</v>
      </c>
      <c r="K291" s="90"/>
    </row>
    <row r="292" spans="1:11" ht="27" customHeight="1">
      <c r="A292" s="176"/>
      <c r="B292" s="159"/>
      <c r="C292" s="36">
        <v>4249</v>
      </c>
      <c r="D292" s="4" t="s">
        <v>157</v>
      </c>
      <c r="E292" s="6">
        <v>2526.54</v>
      </c>
      <c r="F292" s="116">
        <f t="shared" si="31"/>
        <v>0.008716077923156573</v>
      </c>
      <c r="G292" s="30"/>
      <c r="H292" s="84"/>
      <c r="I292" s="54"/>
      <c r="J292" s="37">
        <f t="shared" si="32"/>
        <v>0</v>
      </c>
      <c r="K292" s="90"/>
    </row>
    <row r="293" spans="1:11" ht="12.75">
      <c r="A293" s="176"/>
      <c r="B293" s="159"/>
      <c r="C293" s="36">
        <v>4260</v>
      </c>
      <c r="D293" s="4" t="s">
        <v>74</v>
      </c>
      <c r="E293" s="6">
        <v>28000</v>
      </c>
      <c r="F293" s="116">
        <f t="shared" si="31"/>
        <v>0.09659462420875349</v>
      </c>
      <c r="G293" s="30">
        <v>28500</v>
      </c>
      <c r="H293" s="84"/>
      <c r="I293" s="54">
        <f t="shared" si="25"/>
        <v>101.78571428571428</v>
      </c>
      <c r="J293" s="37">
        <f t="shared" si="32"/>
        <v>0.11311218544262257</v>
      </c>
      <c r="K293" s="90"/>
    </row>
    <row r="294" spans="1:11" ht="12.75">
      <c r="A294" s="176"/>
      <c r="B294" s="159"/>
      <c r="C294" s="36">
        <v>4270</v>
      </c>
      <c r="D294" s="4" t="s">
        <v>76</v>
      </c>
      <c r="E294" s="6">
        <v>2000</v>
      </c>
      <c r="F294" s="116">
        <f t="shared" si="31"/>
        <v>0.006899616014910963</v>
      </c>
      <c r="G294" s="30">
        <v>40500</v>
      </c>
      <c r="H294" s="84"/>
      <c r="I294" s="54">
        <f t="shared" si="25"/>
        <v>2025</v>
      </c>
      <c r="J294" s="37">
        <f t="shared" si="32"/>
        <v>0.1607383687868847</v>
      </c>
      <c r="K294" s="90"/>
    </row>
    <row r="295" spans="1:11" ht="12.75">
      <c r="A295" s="176"/>
      <c r="B295" s="159"/>
      <c r="C295" s="36">
        <v>4280</v>
      </c>
      <c r="D295" s="4" t="s">
        <v>89</v>
      </c>
      <c r="E295" s="6">
        <v>1500</v>
      </c>
      <c r="F295" s="116">
        <f t="shared" si="31"/>
        <v>0.0051747120111832225</v>
      </c>
      <c r="G295" s="30">
        <v>1500</v>
      </c>
      <c r="H295" s="84"/>
      <c r="I295" s="54">
        <f t="shared" si="25"/>
        <v>100</v>
      </c>
      <c r="J295" s="37">
        <f t="shared" si="32"/>
        <v>0.005953272918032767</v>
      </c>
      <c r="K295" s="90"/>
    </row>
    <row r="296" spans="1:11" ht="12.75">
      <c r="A296" s="176"/>
      <c r="B296" s="159"/>
      <c r="C296" s="36">
        <v>4300</v>
      </c>
      <c r="D296" s="4" t="s">
        <v>86</v>
      </c>
      <c r="E296" s="6">
        <v>136020</v>
      </c>
      <c r="F296" s="116">
        <f t="shared" si="31"/>
        <v>0.4692428851740946</v>
      </c>
      <c r="G296" s="30">
        <v>138800</v>
      </c>
      <c r="H296" s="84"/>
      <c r="I296" s="54">
        <f aca="true" t="shared" si="33" ref="I296:I333">(G296/E296)*100</f>
        <v>102.0438170857227</v>
      </c>
      <c r="J296" s="37">
        <f t="shared" si="32"/>
        <v>0.550876187348632</v>
      </c>
      <c r="K296" s="90"/>
    </row>
    <row r="297" spans="1:11" ht="12.75">
      <c r="A297" s="176"/>
      <c r="B297" s="159"/>
      <c r="C297" s="36">
        <v>4307</v>
      </c>
      <c r="D297" s="4" t="s">
        <v>86</v>
      </c>
      <c r="E297" s="6">
        <v>107511.16</v>
      </c>
      <c r="F297" s="116">
        <f t="shared" si="31"/>
        <v>0.3708928606588275</v>
      </c>
      <c r="G297" s="30">
        <v>43681.5</v>
      </c>
      <c r="H297" s="84"/>
      <c r="I297" s="54">
        <f t="shared" si="33"/>
        <v>40.62973555489495</v>
      </c>
      <c r="J297" s="37">
        <f t="shared" si="32"/>
        <v>0.17336526064603222</v>
      </c>
      <c r="K297" s="90"/>
    </row>
    <row r="298" spans="1:11" ht="12.75">
      <c r="A298" s="176"/>
      <c r="B298" s="159"/>
      <c r="C298" s="36">
        <v>4309</v>
      </c>
      <c r="D298" s="4" t="s">
        <v>86</v>
      </c>
      <c r="E298" s="6">
        <v>15552.38</v>
      </c>
      <c r="F298" s="116">
        <f t="shared" si="31"/>
        <v>0.05365272505899048</v>
      </c>
      <c r="G298" s="30">
        <v>7708.5</v>
      </c>
      <c r="H298" s="84"/>
      <c r="I298" s="54">
        <f t="shared" si="33"/>
        <v>49.56476114909744</v>
      </c>
      <c r="J298" s="37">
        <f t="shared" si="32"/>
        <v>0.03059386952577039</v>
      </c>
      <c r="K298" s="90"/>
    </row>
    <row r="299" spans="1:11" ht="12.75">
      <c r="A299" s="176"/>
      <c r="B299" s="159"/>
      <c r="C299" s="36">
        <v>4350</v>
      </c>
      <c r="D299" s="4" t="s">
        <v>130</v>
      </c>
      <c r="E299" s="6">
        <v>1900</v>
      </c>
      <c r="F299" s="116">
        <f t="shared" si="31"/>
        <v>0.006554635214165416</v>
      </c>
      <c r="G299" s="30">
        <v>2160</v>
      </c>
      <c r="H299" s="84"/>
      <c r="I299" s="54">
        <f t="shared" si="33"/>
        <v>113.68421052631578</v>
      </c>
      <c r="J299" s="37">
        <f t="shared" si="32"/>
        <v>0.008572713001967184</v>
      </c>
      <c r="K299" s="90"/>
    </row>
    <row r="300" spans="1:11" ht="22.5" customHeight="1">
      <c r="A300" s="176"/>
      <c r="B300" s="159"/>
      <c r="C300" s="36">
        <v>4370</v>
      </c>
      <c r="D300" s="4" t="s">
        <v>147</v>
      </c>
      <c r="E300" s="6">
        <v>1900</v>
      </c>
      <c r="F300" s="116">
        <f t="shared" si="31"/>
        <v>0.006554635214165416</v>
      </c>
      <c r="G300" s="30">
        <v>2040</v>
      </c>
      <c r="H300" s="84"/>
      <c r="I300" s="54">
        <f t="shared" si="33"/>
        <v>107.36842105263158</v>
      </c>
      <c r="J300" s="37">
        <f t="shared" si="32"/>
        <v>0.008096451168524563</v>
      </c>
      <c r="K300" s="90"/>
    </row>
    <row r="301" spans="1:11" ht="12.75">
      <c r="A301" s="176"/>
      <c r="B301" s="159"/>
      <c r="C301" s="36">
        <v>4410</v>
      </c>
      <c r="D301" s="4" t="s">
        <v>122</v>
      </c>
      <c r="E301" s="6">
        <v>3600</v>
      </c>
      <c r="F301" s="116">
        <f t="shared" si="31"/>
        <v>0.012419308826839734</v>
      </c>
      <c r="G301" s="30">
        <v>3600</v>
      </c>
      <c r="H301" s="84"/>
      <c r="I301" s="54">
        <f t="shared" si="33"/>
        <v>100</v>
      </c>
      <c r="J301" s="37">
        <f t="shared" si="32"/>
        <v>0.01428785500327864</v>
      </c>
      <c r="K301" s="90"/>
    </row>
    <row r="302" spans="1:11" ht="12.75">
      <c r="A302" s="176"/>
      <c r="B302" s="159"/>
      <c r="C302" s="36">
        <v>4430</v>
      </c>
      <c r="D302" s="4" t="s">
        <v>87</v>
      </c>
      <c r="E302" s="6">
        <v>5840</v>
      </c>
      <c r="F302" s="116">
        <f t="shared" si="31"/>
        <v>0.020146878763540016</v>
      </c>
      <c r="G302" s="30">
        <v>5100</v>
      </c>
      <c r="H302" s="84"/>
      <c r="I302" s="54">
        <f t="shared" si="33"/>
        <v>87.32876712328768</v>
      </c>
      <c r="J302" s="37">
        <f t="shared" si="32"/>
        <v>0.020241127921311407</v>
      </c>
      <c r="K302" s="90"/>
    </row>
    <row r="303" spans="1:11" ht="12.75">
      <c r="A303" s="176"/>
      <c r="B303" s="159"/>
      <c r="C303" s="36">
        <v>4440</v>
      </c>
      <c r="D303" s="4" t="s">
        <v>158</v>
      </c>
      <c r="E303" s="6">
        <v>71116</v>
      </c>
      <c r="F303" s="116">
        <f t="shared" si="31"/>
        <v>0.24533654625820406</v>
      </c>
      <c r="G303" s="30">
        <v>75240</v>
      </c>
      <c r="H303" s="84"/>
      <c r="I303" s="54">
        <f t="shared" si="33"/>
        <v>105.79897632037797</v>
      </c>
      <c r="J303" s="37">
        <f t="shared" si="32"/>
        <v>0.29861616956852355</v>
      </c>
      <c r="K303" s="90"/>
    </row>
    <row r="304" spans="1:11" ht="12.75">
      <c r="A304" s="176"/>
      <c r="B304" s="159"/>
      <c r="C304" s="36">
        <v>4520</v>
      </c>
      <c r="D304" s="4" t="s">
        <v>294</v>
      </c>
      <c r="E304" s="6">
        <v>5000</v>
      </c>
      <c r="F304" s="116">
        <f t="shared" si="31"/>
        <v>0.01724904003727741</v>
      </c>
      <c r="G304" s="30">
        <v>7200</v>
      </c>
      <c r="H304" s="84"/>
      <c r="I304" s="54">
        <f t="shared" si="33"/>
        <v>144</v>
      </c>
      <c r="J304" s="37">
        <f t="shared" si="32"/>
        <v>0.02857571000655728</v>
      </c>
      <c r="K304" s="90"/>
    </row>
    <row r="305" spans="1:11" ht="22.5">
      <c r="A305" s="176"/>
      <c r="B305" s="159"/>
      <c r="C305" s="36">
        <v>4700</v>
      </c>
      <c r="D305" s="4" t="s">
        <v>240</v>
      </c>
      <c r="E305" s="6">
        <v>400</v>
      </c>
      <c r="F305" s="116">
        <f t="shared" si="31"/>
        <v>0.0013799232029821926</v>
      </c>
      <c r="G305" s="30">
        <v>600</v>
      </c>
      <c r="H305" s="84"/>
      <c r="I305" s="54">
        <f t="shared" si="33"/>
        <v>150</v>
      </c>
      <c r="J305" s="37">
        <f t="shared" si="32"/>
        <v>0.002381309167213107</v>
      </c>
      <c r="K305" s="90"/>
    </row>
    <row r="306" spans="1:11" ht="20.25" customHeight="1">
      <c r="A306" s="176"/>
      <c r="B306" s="159"/>
      <c r="C306" s="58">
        <v>6050</v>
      </c>
      <c r="D306" s="25" t="s">
        <v>37</v>
      </c>
      <c r="E306" s="26">
        <v>123000</v>
      </c>
      <c r="F306" s="116">
        <f t="shared" si="31"/>
        <v>0.42432638491702424</v>
      </c>
      <c r="G306" s="26">
        <f>G307+G308+G309</f>
        <v>0</v>
      </c>
      <c r="H306" s="26">
        <f>H307+H308+H309</f>
        <v>0</v>
      </c>
      <c r="I306" s="54"/>
      <c r="J306" s="37">
        <f t="shared" si="32"/>
        <v>0</v>
      </c>
      <c r="K306" s="90"/>
    </row>
    <row r="307" spans="1:11" ht="15.75" customHeight="1">
      <c r="A307" s="176"/>
      <c r="B307" s="162"/>
      <c r="C307" s="58"/>
      <c r="D307" s="24" t="s">
        <v>310</v>
      </c>
      <c r="E307" s="26"/>
      <c r="F307" s="116">
        <f t="shared" si="31"/>
        <v>0</v>
      </c>
      <c r="G307" s="30"/>
      <c r="H307" s="84"/>
      <c r="I307" s="54"/>
      <c r="J307" s="37">
        <f t="shared" si="32"/>
        <v>0</v>
      </c>
      <c r="K307" s="90"/>
    </row>
    <row r="308" spans="1:11" ht="18" customHeight="1">
      <c r="A308" s="176"/>
      <c r="B308" s="162"/>
      <c r="C308" s="58"/>
      <c r="D308" s="24" t="s">
        <v>311</v>
      </c>
      <c r="E308" s="26"/>
      <c r="F308" s="116">
        <f t="shared" si="31"/>
        <v>0</v>
      </c>
      <c r="G308" s="30"/>
      <c r="H308" s="84"/>
      <c r="I308" s="54"/>
      <c r="J308" s="37"/>
      <c r="K308" s="90"/>
    </row>
    <row r="309" spans="1:11" ht="15" customHeight="1">
      <c r="A309" s="176"/>
      <c r="B309" s="162"/>
      <c r="C309" s="58"/>
      <c r="D309" s="24" t="s">
        <v>299</v>
      </c>
      <c r="E309" s="26"/>
      <c r="F309" s="116">
        <f t="shared" si="31"/>
        <v>0</v>
      </c>
      <c r="G309" s="30"/>
      <c r="H309" s="84"/>
      <c r="I309" s="54"/>
      <c r="J309" s="37"/>
      <c r="K309" s="90"/>
    </row>
    <row r="310" spans="1:11" ht="21">
      <c r="A310" s="176"/>
      <c r="B310" s="162"/>
      <c r="C310" s="58">
        <v>6060</v>
      </c>
      <c r="D310" s="25" t="s">
        <v>37</v>
      </c>
      <c r="E310" s="26">
        <v>31000</v>
      </c>
      <c r="F310" s="116"/>
      <c r="G310" s="30"/>
      <c r="H310" s="84"/>
      <c r="I310" s="54"/>
      <c r="J310" s="37"/>
      <c r="K310" s="90"/>
    </row>
    <row r="311" spans="1:11" ht="24.75" customHeight="1">
      <c r="A311" s="176"/>
      <c r="B311" s="162"/>
      <c r="C311" s="58">
        <v>6067</v>
      </c>
      <c r="D311" s="25" t="s">
        <v>37</v>
      </c>
      <c r="E311" s="26"/>
      <c r="F311" s="116">
        <f aca="true" t="shared" si="34" ref="F311:F346">(E311/$E$807)*100</f>
        <v>0</v>
      </c>
      <c r="G311" s="30"/>
      <c r="H311" s="84"/>
      <c r="I311" s="54"/>
      <c r="J311" s="37"/>
      <c r="K311" s="139"/>
    </row>
    <row r="312" spans="1:11" ht="24.75" customHeight="1">
      <c r="A312" s="176"/>
      <c r="B312" s="162"/>
      <c r="C312" s="58">
        <v>6069</v>
      </c>
      <c r="D312" s="25" t="s">
        <v>37</v>
      </c>
      <c r="E312" s="26"/>
      <c r="F312" s="116">
        <f t="shared" si="34"/>
        <v>0</v>
      </c>
      <c r="G312" s="30"/>
      <c r="H312" s="84"/>
      <c r="I312" s="54"/>
      <c r="J312" s="37"/>
      <c r="K312" s="139"/>
    </row>
    <row r="313" spans="1:11" ht="24" customHeight="1">
      <c r="A313" s="176"/>
      <c r="B313" s="157">
        <v>80103</v>
      </c>
      <c r="C313" s="50"/>
      <c r="D313" s="3" t="s">
        <v>159</v>
      </c>
      <c r="E313" s="5">
        <f>E314</f>
        <v>283229.14</v>
      </c>
      <c r="F313" s="116">
        <f t="shared" si="34"/>
        <v>0.9770861551167298</v>
      </c>
      <c r="G313" s="5">
        <f>G314</f>
        <v>224165.04</v>
      </c>
      <c r="H313" s="5" t="e">
        <f>H314+#REF!+#REF!+#REF!+#REF!+#REF!+#REF!+#REF!</f>
        <v>#REF!</v>
      </c>
      <c r="I313" s="54">
        <f t="shared" si="33"/>
        <v>79.14617824987923</v>
      </c>
      <c r="J313" s="37">
        <f>(G313/$G$807)*100</f>
        <v>0.8896771078678213</v>
      </c>
      <c r="K313" s="90"/>
    </row>
    <row r="314" spans="1:11" ht="24.75" customHeight="1">
      <c r="A314" s="176"/>
      <c r="B314" s="161"/>
      <c r="C314" s="36">
        <v>2590</v>
      </c>
      <c r="D314" s="4" t="s">
        <v>312</v>
      </c>
      <c r="E314" s="6">
        <v>283229.14</v>
      </c>
      <c r="F314" s="116">
        <f t="shared" si="34"/>
        <v>0.9770861551167298</v>
      </c>
      <c r="G314" s="30">
        <v>224165.04</v>
      </c>
      <c r="H314" s="84"/>
      <c r="I314" s="54">
        <f t="shared" si="33"/>
        <v>79.14617824987923</v>
      </c>
      <c r="J314" s="37">
        <f>(G314/$G$807)*100</f>
        <v>0.8896771078678213</v>
      </c>
      <c r="K314" s="90"/>
    </row>
    <row r="315" spans="1:11" ht="12.75">
      <c r="A315" s="176"/>
      <c r="B315" s="161"/>
      <c r="C315" s="36"/>
      <c r="D315" s="25" t="s">
        <v>344</v>
      </c>
      <c r="E315" s="6">
        <v>85942.54</v>
      </c>
      <c r="F315" s="116">
        <f t="shared" si="34"/>
        <v>0.296485262673063</v>
      </c>
      <c r="G315" s="30">
        <v>43259.92</v>
      </c>
      <c r="H315" s="84"/>
      <c r="I315" s="54"/>
      <c r="J315" s="37"/>
      <c r="K315" s="90"/>
    </row>
    <row r="316" spans="1:11" ht="12.75">
      <c r="A316" s="176"/>
      <c r="B316" s="161"/>
      <c r="C316" s="36"/>
      <c r="D316" s="25" t="s">
        <v>345</v>
      </c>
      <c r="E316" s="6">
        <v>197286.6</v>
      </c>
      <c r="F316" s="116">
        <f t="shared" si="34"/>
        <v>0.6806008924436666</v>
      </c>
      <c r="G316" s="30">
        <v>180905.12</v>
      </c>
      <c r="H316" s="84"/>
      <c r="I316" s="54"/>
      <c r="J316" s="37"/>
      <c r="K316" s="90"/>
    </row>
    <row r="317" spans="1:11" ht="12.75">
      <c r="A317" s="176"/>
      <c r="B317" s="158">
        <v>80104</v>
      </c>
      <c r="C317" s="50"/>
      <c r="D317" s="3" t="s">
        <v>20</v>
      </c>
      <c r="E317" s="5">
        <f>E318+E319</f>
        <v>725035.8500000001</v>
      </c>
      <c r="F317" s="116">
        <f t="shared" si="34"/>
        <v>2.501234481022292</v>
      </c>
      <c r="G317" s="5">
        <f>G318+G319</f>
        <v>851064.29</v>
      </c>
      <c r="H317" s="5" t="e">
        <f>H318+H319</f>
        <v>#REF!</v>
      </c>
      <c r="I317" s="54">
        <f t="shared" si="33"/>
        <v>117.3823735750446</v>
      </c>
      <c r="J317" s="37">
        <f aca="true" t="shared" si="35" ref="J317:J322">(G317/$G$807)*100</f>
        <v>3.3777453261078567</v>
      </c>
      <c r="K317" s="90"/>
    </row>
    <row r="318" spans="1:11" ht="12.75">
      <c r="A318" s="176"/>
      <c r="B318" s="165"/>
      <c r="C318" s="50"/>
      <c r="D318" s="3" t="s">
        <v>268</v>
      </c>
      <c r="E318" s="5">
        <f>SUM(E320:E346)</f>
        <v>725035.8500000001</v>
      </c>
      <c r="F318" s="116">
        <f t="shared" si="34"/>
        <v>2.501234481022292</v>
      </c>
      <c r="G318" s="5">
        <f>SUM(G320:G346)</f>
        <v>833064.29</v>
      </c>
      <c r="H318" s="5">
        <f>SUM(H320:H346)</f>
        <v>0</v>
      </c>
      <c r="I318" s="54">
        <f t="shared" si="33"/>
        <v>114.89973771641773</v>
      </c>
      <c r="J318" s="37">
        <f t="shared" si="35"/>
        <v>3.3063060510914637</v>
      </c>
      <c r="K318" s="90"/>
    </row>
    <row r="319" spans="1:11" ht="12.75">
      <c r="A319" s="176"/>
      <c r="B319" s="165"/>
      <c r="C319" s="50"/>
      <c r="D319" s="3" t="s">
        <v>270</v>
      </c>
      <c r="E319" s="5">
        <f>E347</f>
        <v>0</v>
      </c>
      <c r="F319" s="116">
        <f t="shared" si="34"/>
        <v>0</v>
      </c>
      <c r="G319" s="5">
        <f>G347</f>
        <v>18000</v>
      </c>
      <c r="H319" s="5" t="e">
        <f>#REF!</f>
        <v>#REF!</v>
      </c>
      <c r="I319" s="54" t="e">
        <f t="shared" si="33"/>
        <v>#DIV/0!</v>
      </c>
      <c r="J319" s="37">
        <f t="shared" si="35"/>
        <v>0.0714392750163932</v>
      </c>
      <c r="K319" s="90"/>
    </row>
    <row r="320" spans="1:11" ht="22.5">
      <c r="A320" s="176"/>
      <c r="B320" s="159"/>
      <c r="C320" s="36">
        <v>2590</v>
      </c>
      <c r="D320" s="4" t="s">
        <v>312</v>
      </c>
      <c r="E320" s="6">
        <v>192884.25</v>
      </c>
      <c r="F320" s="116">
        <f t="shared" si="34"/>
        <v>0.665413630162045</v>
      </c>
      <c r="G320" s="30">
        <v>477824.49</v>
      </c>
      <c r="H320" s="84"/>
      <c r="I320" s="54"/>
      <c r="J320" s="37">
        <f t="shared" si="35"/>
        <v>1.8964130639265455</v>
      </c>
      <c r="K320" s="90"/>
    </row>
    <row r="321" spans="1:11" ht="22.5">
      <c r="A321" s="176"/>
      <c r="B321" s="159"/>
      <c r="C321" s="36">
        <v>3020</v>
      </c>
      <c r="D321" s="4" t="s">
        <v>154</v>
      </c>
      <c r="E321" s="6">
        <v>16400</v>
      </c>
      <c r="F321" s="116">
        <f t="shared" si="34"/>
        <v>0.0565768513222699</v>
      </c>
      <c r="G321" s="30">
        <v>8182</v>
      </c>
      <c r="H321" s="84"/>
      <c r="I321" s="54">
        <f t="shared" si="33"/>
        <v>49.890243902439025</v>
      </c>
      <c r="J321" s="37">
        <f t="shared" si="35"/>
        <v>0.03247311934356273</v>
      </c>
      <c r="K321" s="90"/>
    </row>
    <row r="322" spans="1:11" ht="12.75">
      <c r="A322" s="176"/>
      <c r="B322" s="159"/>
      <c r="C322" s="36">
        <v>4010</v>
      </c>
      <c r="D322" s="4" t="s">
        <v>93</v>
      </c>
      <c r="E322" s="6">
        <v>212300</v>
      </c>
      <c r="F322" s="116">
        <f t="shared" si="34"/>
        <v>0.7323942399827988</v>
      </c>
      <c r="G322" s="30">
        <v>133496</v>
      </c>
      <c r="H322" s="84"/>
      <c r="I322" s="54">
        <f t="shared" si="33"/>
        <v>62.88082901554404</v>
      </c>
      <c r="J322" s="37">
        <f t="shared" si="35"/>
        <v>0.5298254143104681</v>
      </c>
      <c r="K322" s="90"/>
    </row>
    <row r="323" spans="1:11" ht="12.75">
      <c r="A323" s="176"/>
      <c r="B323" s="159"/>
      <c r="C323" s="36">
        <v>4017</v>
      </c>
      <c r="D323" s="4" t="s">
        <v>93</v>
      </c>
      <c r="E323" s="6">
        <v>97036.33</v>
      </c>
      <c r="F323" s="116">
        <f t="shared" si="34"/>
        <v>0.3347567082480926</v>
      </c>
      <c r="G323" s="30">
        <v>48074.8</v>
      </c>
      <c r="H323" s="84"/>
      <c r="I323" s="54">
        <f t="shared" si="33"/>
        <v>49.543093808267486</v>
      </c>
      <c r="J323" s="37"/>
      <c r="K323" s="90"/>
    </row>
    <row r="324" spans="1:11" ht="12.75">
      <c r="A324" s="176"/>
      <c r="B324" s="159"/>
      <c r="C324" s="36">
        <v>4040</v>
      </c>
      <c r="D324" s="4" t="s">
        <v>155</v>
      </c>
      <c r="E324" s="6">
        <v>22870</v>
      </c>
      <c r="F324" s="116">
        <f t="shared" si="34"/>
        <v>0.07889710913050688</v>
      </c>
      <c r="G324" s="30">
        <v>21530</v>
      </c>
      <c r="H324" s="84"/>
      <c r="I324" s="54">
        <f t="shared" si="33"/>
        <v>94.14079580236118</v>
      </c>
      <c r="J324" s="37">
        <f>(G324/$G$807)*100</f>
        <v>0.08544931061683031</v>
      </c>
      <c r="K324" s="90"/>
    </row>
    <row r="325" spans="1:11" ht="12.75">
      <c r="A325" s="176"/>
      <c r="B325" s="159"/>
      <c r="C325" s="36">
        <v>4110</v>
      </c>
      <c r="D325" s="4" t="s">
        <v>83</v>
      </c>
      <c r="E325" s="6">
        <v>46935</v>
      </c>
      <c r="F325" s="116">
        <f t="shared" si="34"/>
        <v>0.16191673882992302</v>
      </c>
      <c r="G325" s="30">
        <v>25953</v>
      </c>
      <c r="H325" s="84"/>
      <c r="I325" s="54">
        <f t="shared" si="33"/>
        <v>55.29562160434644</v>
      </c>
      <c r="J325" s="37">
        <f>(G325/$G$807)*100</f>
        <v>0.10300352802780294</v>
      </c>
      <c r="K325" s="90"/>
    </row>
    <row r="326" spans="1:11" ht="12.75">
      <c r="A326" s="176"/>
      <c r="B326" s="159"/>
      <c r="C326" s="36">
        <v>4117</v>
      </c>
      <c r="D326" s="4" t="s">
        <v>83</v>
      </c>
      <c r="E326" s="6">
        <v>16767.88</v>
      </c>
      <c r="F326" s="116">
        <f t="shared" si="34"/>
        <v>0.05784596669205263</v>
      </c>
      <c r="G326" s="30">
        <v>8767</v>
      </c>
      <c r="H326" s="84"/>
      <c r="I326" s="54">
        <f t="shared" si="33"/>
        <v>52.284486768750725</v>
      </c>
      <c r="J326" s="37"/>
      <c r="K326" s="90"/>
    </row>
    <row r="327" spans="1:11" ht="12.75">
      <c r="A327" s="176"/>
      <c r="B327" s="159"/>
      <c r="C327" s="36">
        <v>4120</v>
      </c>
      <c r="D327" s="4" t="s">
        <v>104</v>
      </c>
      <c r="E327" s="6">
        <v>7286</v>
      </c>
      <c r="F327" s="116">
        <f t="shared" si="34"/>
        <v>0.02513530114232064</v>
      </c>
      <c r="G327" s="30">
        <v>3700</v>
      </c>
      <c r="H327" s="84"/>
      <c r="I327" s="54">
        <f t="shared" si="33"/>
        <v>50.78232226187208</v>
      </c>
      <c r="J327" s="37">
        <f>(G327/$G$807)*100</f>
        <v>0.014684739864480824</v>
      </c>
      <c r="K327" s="90"/>
    </row>
    <row r="328" spans="1:11" ht="12.75">
      <c r="A328" s="176"/>
      <c r="B328" s="159"/>
      <c r="C328" s="36">
        <v>4127</v>
      </c>
      <c r="D328" s="4" t="s">
        <v>104</v>
      </c>
      <c r="E328" s="6">
        <v>2377.39</v>
      </c>
      <c r="F328" s="116">
        <f t="shared" si="34"/>
        <v>0.008201539058844586</v>
      </c>
      <c r="G328" s="30">
        <v>1249</v>
      </c>
      <c r="H328" s="84"/>
      <c r="I328" s="54">
        <f t="shared" si="33"/>
        <v>52.536605268803186</v>
      </c>
      <c r="J328" s="37"/>
      <c r="K328" s="90"/>
    </row>
    <row r="329" spans="1:11" ht="12.75">
      <c r="A329" s="176"/>
      <c r="B329" s="159"/>
      <c r="C329" s="36">
        <v>4170</v>
      </c>
      <c r="D329" s="4" t="s">
        <v>85</v>
      </c>
      <c r="E329" s="6">
        <v>500</v>
      </c>
      <c r="F329" s="116">
        <f t="shared" si="34"/>
        <v>0.0017249040037277407</v>
      </c>
      <c r="G329" s="30">
        <v>1000</v>
      </c>
      <c r="H329" s="84"/>
      <c r="I329" s="54">
        <f t="shared" si="33"/>
        <v>200</v>
      </c>
      <c r="J329" s="37">
        <f>(G329/$G$807)*100</f>
        <v>0.003968848612021844</v>
      </c>
      <c r="K329" s="90"/>
    </row>
    <row r="330" spans="1:11" ht="12.75">
      <c r="A330" s="176"/>
      <c r="B330" s="159"/>
      <c r="C330" s="36">
        <v>4177</v>
      </c>
      <c r="D330" s="4" t="s">
        <v>85</v>
      </c>
      <c r="E330" s="6">
        <v>10368</v>
      </c>
      <c r="F330" s="116">
        <f t="shared" si="34"/>
        <v>0.03576760942129844</v>
      </c>
      <c r="G330" s="30">
        <v>5184</v>
      </c>
      <c r="H330" s="84"/>
      <c r="I330" s="54">
        <f t="shared" si="33"/>
        <v>50</v>
      </c>
      <c r="J330" s="37"/>
      <c r="K330" s="90"/>
    </row>
    <row r="331" spans="1:11" ht="12.75">
      <c r="A331" s="176"/>
      <c r="B331" s="159"/>
      <c r="C331" s="36">
        <v>4210</v>
      </c>
      <c r="D331" s="4" t="s">
        <v>73</v>
      </c>
      <c r="E331" s="6">
        <v>9000</v>
      </c>
      <c r="F331" s="116">
        <f t="shared" si="34"/>
        <v>0.031048272067099338</v>
      </c>
      <c r="G331" s="30">
        <v>15650</v>
      </c>
      <c r="H331" s="84"/>
      <c r="I331" s="54">
        <f t="shared" si="33"/>
        <v>173.88888888888889</v>
      </c>
      <c r="J331" s="37">
        <f>(G331/$G$807)*100</f>
        <v>0.06211248077814187</v>
      </c>
      <c r="K331" s="90"/>
    </row>
    <row r="332" spans="1:11" ht="12.75">
      <c r="A332" s="176"/>
      <c r="B332" s="159"/>
      <c r="C332" s="36">
        <v>4217</v>
      </c>
      <c r="D332" s="4" t="s">
        <v>73</v>
      </c>
      <c r="E332" s="6">
        <v>4194</v>
      </c>
      <c r="F332" s="116">
        <f t="shared" si="34"/>
        <v>0.01446849478326829</v>
      </c>
      <c r="G332" s="30"/>
      <c r="H332" s="84"/>
      <c r="I332" s="54">
        <f t="shared" si="33"/>
        <v>0</v>
      </c>
      <c r="J332" s="37"/>
      <c r="K332" s="90"/>
    </row>
    <row r="333" spans="1:11" ht="22.5">
      <c r="A333" s="176"/>
      <c r="B333" s="159"/>
      <c r="C333" s="36">
        <v>4240</v>
      </c>
      <c r="D333" s="4" t="s">
        <v>157</v>
      </c>
      <c r="E333" s="6">
        <v>2000</v>
      </c>
      <c r="F333" s="116">
        <f t="shared" si="34"/>
        <v>0.006899616014910963</v>
      </c>
      <c r="G333" s="30">
        <v>2000</v>
      </c>
      <c r="H333" s="84"/>
      <c r="I333" s="54">
        <f t="shared" si="33"/>
        <v>100</v>
      </c>
      <c r="J333" s="37">
        <f aca="true" t="shared" si="36" ref="J333:J346">(G333/$G$807)*100</f>
        <v>0.007937697224043689</v>
      </c>
      <c r="K333" s="90"/>
    </row>
    <row r="334" spans="1:11" ht="12.75">
      <c r="A334" s="176"/>
      <c r="B334" s="159"/>
      <c r="C334" s="36">
        <v>4260</v>
      </c>
      <c r="D334" s="4" t="s">
        <v>74</v>
      </c>
      <c r="E334" s="6">
        <v>5800</v>
      </c>
      <c r="F334" s="116">
        <f t="shared" si="34"/>
        <v>0.020008886443241794</v>
      </c>
      <c r="G334" s="30">
        <v>5000</v>
      </c>
      <c r="H334" s="84"/>
      <c r="I334" s="54">
        <f>(G334/E334)*100</f>
        <v>86.20689655172413</v>
      </c>
      <c r="J334" s="37">
        <f t="shared" si="36"/>
        <v>0.019844243060109224</v>
      </c>
      <c r="K334" s="90"/>
    </row>
    <row r="335" spans="1:11" ht="12.75">
      <c r="A335" s="176"/>
      <c r="B335" s="159"/>
      <c r="C335" s="36">
        <v>4270</v>
      </c>
      <c r="D335" s="4" t="s">
        <v>76</v>
      </c>
      <c r="E335" s="6">
        <v>500</v>
      </c>
      <c r="F335" s="116">
        <f t="shared" si="34"/>
        <v>0.0017249040037277407</v>
      </c>
      <c r="G335" s="30">
        <v>500</v>
      </c>
      <c r="H335" s="84"/>
      <c r="I335" s="54">
        <f aca="true" t="shared" si="37" ref="I335:I400">(G335/E335)*100</f>
        <v>100</v>
      </c>
      <c r="J335" s="37">
        <f t="shared" si="36"/>
        <v>0.001984424306010922</v>
      </c>
      <c r="K335" s="90"/>
    </row>
    <row r="336" spans="1:11" ht="12.75">
      <c r="A336" s="176"/>
      <c r="B336" s="159"/>
      <c r="C336" s="36">
        <v>4280</v>
      </c>
      <c r="D336" s="4" t="s">
        <v>89</v>
      </c>
      <c r="E336" s="6">
        <v>250</v>
      </c>
      <c r="F336" s="116">
        <f t="shared" si="34"/>
        <v>0.0008624520018638704</v>
      </c>
      <c r="G336" s="30">
        <v>250</v>
      </c>
      <c r="H336" s="84"/>
      <c r="I336" s="54">
        <f t="shared" si="37"/>
        <v>100</v>
      </c>
      <c r="J336" s="37">
        <f t="shared" si="36"/>
        <v>0.000992212153005461</v>
      </c>
      <c r="K336" s="90"/>
    </row>
    <row r="337" spans="1:11" ht="12.75">
      <c r="A337" s="176"/>
      <c r="B337" s="159"/>
      <c r="C337" s="36">
        <v>4300</v>
      </c>
      <c r="D337" s="4" t="s">
        <v>86</v>
      </c>
      <c r="E337" s="6">
        <v>7300</v>
      </c>
      <c r="F337" s="116">
        <f t="shared" si="34"/>
        <v>0.025183598454425016</v>
      </c>
      <c r="G337" s="30">
        <v>3182</v>
      </c>
      <c r="H337" s="84"/>
      <c r="I337" s="54">
        <f t="shared" si="37"/>
        <v>43.589041095890416</v>
      </c>
      <c r="J337" s="37">
        <f t="shared" si="36"/>
        <v>0.01262887628345351</v>
      </c>
      <c r="K337" s="90"/>
    </row>
    <row r="338" spans="1:11" ht="12.75">
      <c r="A338" s="176"/>
      <c r="B338" s="159"/>
      <c r="C338" s="36">
        <v>4307</v>
      </c>
      <c r="D338" s="4" t="s">
        <v>86</v>
      </c>
      <c r="E338" s="6">
        <v>8589</v>
      </c>
      <c r="F338" s="116">
        <f t="shared" si="34"/>
        <v>0.029630400976035132</v>
      </c>
      <c r="G338" s="30">
        <v>5580</v>
      </c>
      <c r="H338" s="84"/>
      <c r="I338" s="54">
        <f t="shared" si="37"/>
        <v>64.96681802305274</v>
      </c>
      <c r="J338" s="37">
        <f t="shared" si="36"/>
        <v>0.02214617525508189</v>
      </c>
      <c r="K338" s="90"/>
    </row>
    <row r="339" spans="1:11" ht="12.75">
      <c r="A339" s="176"/>
      <c r="B339" s="159"/>
      <c r="C339" s="36">
        <v>4330</v>
      </c>
      <c r="D339" s="4" t="s">
        <v>316</v>
      </c>
      <c r="E339" s="6">
        <v>42850</v>
      </c>
      <c r="F339" s="116">
        <f t="shared" si="34"/>
        <v>0.14782427311946741</v>
      </c>
      <c r="G339" s="30">
        <v>54524</v>
      </c>
      <c r="H339" s="84"/>
      <c r="I339" s="54">
        <f t="shared" si="37"/>
        <v>127.2438739789965</v>
      </c>
      <c r="J339" s="37">
        <f t="shared" si="36"/>
        <v>0.21639750172187905</v>
      </c>
      <c r="K339" s="90"/>
    </row>
    <row r="340" spans="1:11" ht="12.75">
      <c r="A340" s="176"/>
      <c r="B340" s="159"/>
      <c r="C340" s="36">
        <v>4350</v>
      </c>
      <c r="D340" s="4" t="s">
        <v>222</v>
      </c>
      <c r="E340" s="6">
        <v>468</v>
      </c>
      <c r="F340" s="116">
        <f t="shared" si="34"/>
        <v>0.0016145101474891656</v>
      </c>
      <c r="G340" s="30">
        <v>468</v>
      </c>
      <c r="H340" s="84"/>
      <c r="I340" s="54">
        <f t="shared" si="37"/>
        <v>100</v>
      </c>
      <c r="J340" s="37">
        <f t="shared" si="36"/>
        <v>0.0018574211504262233</v>
      </c>
      <c r="K340" s="90"/>
    </row>
    <row r="341" spans="1:11" ht="22.5">
      <c r="A341" s="176"/>
      <c r="B341" s="159"/>
      <c r="C341" s="36">
        <v>4370</v>
      </c>
      <c r="D341" s="4" t="s">
        <v>147</v>
      </c>
      <c r="E341" s="6">
        <v>650</v>
      </c>
      <c r="F341" s="116">
        <f t="shared" si="34"/>
        <v>0.0022423752048460633</v>
      </c>
      <c r="G341" s="30">
        <v>700</v>
      </c>
      <c r="H341" s="84"/>
      <c r="I341" s="54">
        <f t="shared" si="37"/>
        <v>107.6923076923077</v>
      </c>
      <c r="J341" s="37">
        <f t="shared" si="36"/>
        <v>0.0027781940284152913</v>
      </c>
      <c r="K341" s="90"/>
    </row>
    <row r="342" spans="1:11" ht="12.75">
      <c r="A342" s="176"/>
      <c r="B342" s="159"/>
      <c r="C342" s="36">
        <v>4410</v>
      </c>
      <c r="D342" s="4" t="s">
        <v>160</v>
      </c>
      <c r="E342" s="6">
        <v>100</v>
      </c>
      <c r="F342" s="116">
        <f t="shared" si="34"/>
        <v>0.00034498080074554815</v>
      </c>
      <c r="G342" s="30">
        <v>100</v>
      </c>
      <c r="H342" s="84"/>
      <c r="I342" s="54">
        <f t="shared" si="37"/>
        <v>100</v>
      </c>
      <c r="J342" s="37">
        <f t="shared" si="36"/>
        <v>0.00039688486120218445</v>
      </c>
      <c r="K342" s="90"/>
    </row>
    <row r="343" spans="1:11" ht="12.75">
      <c r="A343" s="176"/>
      <c r="B343" s="159"/>
      <c r="C343" s="36">
        <v>4430</v>
      </c>
      <c r="D343" s="4" t="s">
        <v>87</v>
      </c>
      <c r="E343" s="6">
        <v>450</v>
      </c>
      <c r="F343" s="116">
        <f t="shared" si="34"/>
        <v>0.0015524136033549668</v>
      </c>
      <c r="G343" s="30">
        <v>450</v>
      </c>
      <c r="H343" s="84"/>
      <c r="I343" s="54">
        <f t="shared" si="37"/>
        <v>100</v>
      </c>
      <c r="J343" s="37">
        <f t="shared" si="36"/>
        <v>0.00178598187540983</v>
      </c>
      <c r="K343" s="90"/>
    </row>
    <row r="344" spans="1:11" ht="12.75">
      <c r="A344" s="176"/>
      <c r="B344" s="159"/>
      <c r="C344" s="36">
        <v>4440</v>
      </c>
      <c r="D344" s="4" t="s">
        <v>158</v>
      </c>
      <c r="E344" s="6">
        <v>16310</v>
      </c>
      <c r="F344" s="116">
        <f t="shared" si="34"/>
        <v>0.05626636860159891</v>
      </c>
      <c r="G344" s="30">
        <v>9000</v>
      </c>
      <c r="H344" s="84"/>
      <c r="I344" s="54">
        <f t="shared" si="37"/>
        <v>55.18087063151441</v>
      </c>
      <c r="J344" s="37">
        <f t="shared" si="36"/>
        <v>0.0357196375081966</v>
      </c>
      <c r="K344" s="90"/>
    </row>
    <row r="345" spans="1:11" ht="12.75">
      <c r="A345" s="176"/>
      <c r="B345" s="159"/>
      <c r="C345" s="36">
        <v>4520</v>
      </c>
      <c r="D345" s="4" t="s">
        <v>294</v>
      </c>
      <c r="E345" s="6">
        <v>850</v>
      </c>
      <c r="F345" s="116">
        <f t="shared" si="34"/>
        <v>0.0029323368063371596</v>
      </c>
      <c r="G345" s="30">
        <v>500</v>
      </c>
      <c r="H345" s="84"/>
      <c r="I345" s="54">
        <f t="shared" si="37"/>
        <v>58.82352941176471</v>
      </c>
      <c r="J345" s="37">
        <f t="shared" si="36"/>
        <v>0.001984424306010922</v>
      </c>
      <c r="K345" s="90"/>
    </row>
    <row r="346" spans="1:11" ht="22.5">
      <c r="A346" s="176"/>
      <c r="B346" s="159"/>
      <c r="C346" s="36">
        <v>4700</v>
      </c>
      <c r="D346" s="4" t="s">
        <v>240</v>
      </c>
      <c r="E346" s="6"/>
      <c r="F346" s="116">
        <f t="shared" si="34"/>
        <v>0</v>
      </c>
      <c r="G346" s="30">
        <v>200</v>
      </c>
      <c r="H346" s="84"/>
      <c r="I346" s="54" t="e">
        <f t="shared" si="37"/>
        <v>#DIV/0!</v>
      </c>
      <c r="J346" s="37">
        <f t="shared" si="36"/>
        <v>0.0007937697224043689</v>
      </c>
      <c r="K346" s="90"/>
    </row>
    <row r="347" spans="1:11" ht="22.5">
      <c r="A347" s="176"/>
      <c r="B347" s="109"/>
      <c r="C347" s="36">
        <v>6060</v>
      </c>
      <c r="D347" s="4" t="s">
        <v>352</v>
      </c>
      <c r="E347" s="6"/>
      <c r="F347" s="116"/>
      <c r="G347" s="30">
        <v>18000</v>
      </c>
      <c r="H347" s="84"/>
      <c r="I347" s="54"/>
      <c r="J347" s="37"/>
      <c r="K347" s="90"/>
    </row>
    <row r="348" spans="1:11" ht="12.75">
      <c r="A348" s="176"/>
      <c r="B348" s="157">
        <v>80106</v>
      </c>
      <c r="C348" s="50"/>
      <c r="D348" s="3" t="s">
        <v>306</v>
      </c>
      <c r="E348" s="5">
        <f>E349</f>
        <v>34641.85</v>
      </c>
      <c r="F348" s="116">
        <f aca="true" t="shared" si="38" ref="F348:F379">(E348/$E$807)*100</f>
        <v>0.11950773152307169</v>
      </c>
      <c r="G348" s="5">
        <f>G349</f>
        <v>50990.8</v>
      </c>
      <c r="H348" s="5">
        <f>H349</f>
        <v>0</v>
      </c>
      <c r="I348" s="54">
        <f t="shared" si="37"/>
        <v>147.1942173988976</v>
      </c>
      <c r="J348" s="37">
        <f>(G348/$G$807)*100</f>
        <v>0.20237476580588346</v>
      </c>
      <c r="K348" s="90"/>
    </row>
    <row r="349" spans="1:11" s="16" customFormat="1" ht="24" customHeight="1">
      <c r="A349" s="176"/>
      <c r="B349" s="157"/>
      <c r="C349" s="36">
        <v>2590</v>
      </c>
      <c r="D349" s="25" t="s">
        <v>335</v>
      </c>
      <c r="E349" s="6">
        <v>34641.85</v>
      </c>
      <c r="F349" s="116">
        <f t="shared" si="38"/>
        <v>0.11950773152307169</v>
      </c>
      <c r="G349" s="6">
        <v>50990.8</v>
      </c>
      <c r="H349" s="61"/>
      <c r="I349" s="54">
        <f t="shared" si="37"/>
        <v>147.1942173988976</v>
      </c>
      <c r="J349" s="37"/>
      <c r="K349" s="90"/>
    </row>
    <row r="350" spans="1:11" ht="12.75">
      <c r="A350" s="176"/>
      <c r="B350" s="158">
        <v>80110</v>
      </c>
      <c r="C350" s="50"/>
      <c r="D350" s="3" t="s">
        <v>21</v>
      </c>
      <c r="E350" s="5">
        <f>E354+E355+E358+E362+E359+E365+E368+E371+E374+E375+E377+E380+E382+E383+E384+E376+E381+E386+E369+E370+E372+E373+E378+E379+E385+E387+E366+E356+E357+E360+E361+E363+E364+E367</f>
        <v>2155742</v>
      </c>
      <c r="F350" s="116">
        <f t="shared" si="38"/>
        <v>7.436896013608095</v>
      </c>
      <c r="G350" s="5">
        <f>G354+G355+G358+G362+G359+G365+G368+G371+G374+G375+G377+G380+G382+G383+G384+G376+G381+G386+G369+G370+G372+G373+G378+G379+G385+G387+G366+G356+G357+G360+G361+G363+G364+G367</f>
        <v>2204462.2</v>
      </c>
      <c r="H350" s="5" t="e">
        <f>H354+H355+H358+H362+H359+H365+H368+H371+H374+H375+H377+H380+H382+H383+H384+H376+H381+H386+H369+H370+H372+H373+H378+H379+#REF!+H385+H387+H366+#REF!+#REF!+#REF!+H356+H357+H360+H361+H363+H364+H367+#REF!+#REF!</f>
        <v>#REF!</v>
      </c>
      <c r="I350" s="54">
        <f t="shared" si="37"/>
        <v>102.26001998383852</v>
      </c>
      <c r="J350" s="37">
        <f>(G350/$G$807)*100</f>
        <v>8.749176742724622</v>
      </c>
      <c r="K350" s="90"/>
    </row>
    <row r="351" spans="1:11" ht="12.75">
      <c r="A351" s="176"/>
      <c r="B351" s="165"/>
      <c r="C351" s="50"/>
      <c r="D351" s="3" t="s">
        <v>237</v>
      </c>
      <c r="E351" s="5">
        <f>E387</f>
        <v>500</v>
      </c>
      <c r="F351" s="116">
        <f t="shared" si="38"/>
        <v>0.0017249040037277407</v>
      </c>
      <c r="G351" s="5">
        <f>G387</f>
        <v>65000</v>
      </c>
      <c r="H351" s="5" t="e">
        <f>H387+#REF!+#REF!</f>
        <v>#REF!</v>
      </c>
      <c r="I351" s="54"/>
      <c r="J351" s="37">
        <f>(G351/$G$807)*100</f>
        <v>0.25797515978141994</v>
      </c>
      <c r="K351" s="90"/>
    </row>
    <row r="352" spans="1:11" ht="12.75">
      <c r="A352" s="176"/>
      <c r="B352" s="165"/>
      <c r="C352" s="50"/>
      <c r="D352" s="3" t="s">
        <v>303</v>
      </c>
      <c r="E352" s="5">
        <f>E354+E355+E358+E359+E362+E365+E366+E368+E369+E370+E371+E372+E373+E374+E375+E376+E377+E378+E379+E380+E381+E382+E383+E384+E385+E386+E356+E357+E360+E361+E363+E364+E367</f>
        <v>2155242</v>
      </c>
      <c r="F352" s="116">
        <f t="shared" si="38"/>
        <v>7.435171109604368</v>
      </c>
      <c r="G352" s="5">
        <f>G354+G355+G358+G359+G362+G365+G366+G368+G369+G370+G371+G372+G373+G374+G375+G376+G377+G378+G379+G380+G381+G382+G383+G384+G385+G386+G356+G357+G360+G361+G363+G364+G367</f>
        <v>2139462.2</v>
      </c>
      <c r="H352" s="5" t="e">
        <f>H354+H355+H358+H359+H362+H365+H366+H368+H369+H370+H371+H372+H373+H374+H375+H376+H377+H378+H379+H380+H381+H382+#REF!+H383+H384+H385+H386+#REF!+#REF!+#REF!+H356+H357+H360+H361+H363+H364+H367</f>
        <v>#REF!</v>
      </c>
      <c r="I352" s="54">
        <f t="shared" si="37"/>
        <v>99.26784091995239</v>
      </c>
      <c r="J352" s="37"/>
      <c r="K352" s="90"/>
    </row>
    <row r="353" spans="1:11" ht="12.75">
      <c r="A353" s="176"/>
      <c r="B353" s="165"/>
      <c r="C353" s="50"/>
      <c r="D353" s="3" t="s">
        <v>304</v>
      </c>
      <c r="E353" s="5">
        <f>SUM(E351:E352)</f>
        <v>2155742</v>
      </c>
      <c r="F353" s="116">
        <f t="shared" si="38"/>
        <v>7.436896013608095</v>
      </c>
      <c r="G353" s="5">
        <f>SUM(G351:G352)</f>
        <v>2204462.2</v>
      </c>
      <c r="H353" s="5" t="e">
        <f>SUM(H351:H352)</f>
        <v>#REF!</v>
      </c>
      <c r="I353" s="54">
        <f t="shared" si="37"/>
        <v>102.26001998383852</v>
      </c>
      <c r="J353" s="37"/>
      <c r="K353" s="90"/>
    </row>
    <row r="354" spans="1:11" ht="22.5">
      <c r="A354" s="176"/>
      <c r="B354" s="159"/>
      <c r="C354" s="36">
        <v>3020</v>
      </c>
      <c r="D354" s="4" t="s">
        <v>154</v>
      </c>
      <c r="E354" s="6">
        <v>79895</v>
      </c>
      <c r="F354" s="116">
        <f t="shared" si="38"/>
        <v>0.27562241075565574</v>
      </c>
      <c r="G354" s="30">
        <v>77090</v>
      </c>
      <c r="H354" s="84"/>
      <c r="I354" s="54">
        <f t="shared" si="37"/>
        <v>96.48914199887352</v>
      </c>
      <c r="J354" s="37">
        <f aca="true" t="shared" si="39" ref="J354:J359">(G354/$G$807)*100</f>
        <v>0.305958539500764</v>
      </c>
      <c r="K354" s="90"/>
    </row>
    <row r="355" spans="1:11" ht="12.75">
      <c r="A355" s="176"/>
      <c r="B355" s="159"/>
      <c r="C355" s="36">
        <v>4010</v>
      </c>
      <c r="D355" s="4" t="s">
        <v>93</v>
      </c>
      <c r="E355" s="6">
        <v>1108100</v>
      </c>
      <c r="F355" s="116">
        <f t="shared" si="38"/>
        <v>3.822732253061419</v>
      </c>
      <c r="G355" s="30">
        <v>1151095</v>
      </c>
      <c r="H355" s="84"/>
      <c r="I355" s="54">
        <f t="shared" si="37"/>
        <v>103.8800649760852</v>
      </c>
      <c r="J355" s="37">
        <f t="shared" si="39"/>
        <v>4.568521793055285</v>
      </c>
      <c r="K355" s="90"/>
    </row>
    <row r="356" spans="1:11" ht="12.75">
      <c r="A356" s="176"/>
      <c r="B356" s="159"/>
      <c r="C356" s="36">
        <v>4017</v>
      </c>
      <c r="D356" s="4" t="s">
        <v>93</v>
      </c>
      <c r="E356" s="6">
        <v>41947.5</v>
      </c>
      <c r="F356" s="116">
        <f t="shared" si="38"/>
        <v>0.14471082139273883</v>
      </c>
      <c r="G356" s="30">
        <v>15619.6</v>
      </c>
      <c r="H356" s="84"/>
      <c r="I356" s="54">
        <f t="shared" si="37"/>
        <v>37.23606889564336</v>
      </c>
      <c r="J356" s="37">
        <f t="shared" si="39"/>
        <v>0.061991827780336406</v>
      </c>
      <c r="K356" s="90"/>
    </row>
    <row r="357" spans="1:11" ht="12.75">
      <c r="A357" s="176"/>
      <c r="B357" s="159"/>
      <c r="C357" s="36">
        <v>4019</v>
      </c>
      <c r="D357" s="4" t="s">
        <v>93</v>
      </c>
      <c r="E357" s="6">
        <v>7402.5</v>
      </c>
      <c r="F357" s="116">
        <f t="shared" si="38"/>
        <v>0.025537203775189202</v>
      </c>
      <c r="G357" s="30">
        <v>2756.6</v>
      </c>
      <c r="H357" s="84"/>
      <c r="I357" s="54">
        <f t="shared" si="37"/>
        <v>37.23877068557919</v>
      </c>
      <c r="J357" s="37">
        <f t="shared" si="39"/>
        <v>0.010940528083899417</v>
      </c>
      <c r="K357" s="90"/>
    </row>
    <row r="358" spans="1:11" ht="12.75">
      <c r="A358" s="176"/>
      <c r="B358" s="159"/>
      <c r="C358" s="36">
        <v>4040</v>
      </c>
      <c r="D358" s="4" t="s">
        <v>155</v>
      </c>
      <c r="E358" s="6">
        <v>90500</v>
      </c>
      <c r="F358" s="116">
        <f t="shared" si="38"/>
        <v>0.31220762467472113</v>
      </c>
      <c r="G358" s="30">
        <v>99500</v>
      </c>
      <c r="H358" s="84"/>
      <c r="I358" s="54">
        <f t="shared" si="37"/>
        <v>109.94475138121547</v>
      </c>
      <c r="J358" s="37">
        <f t="shared" si="39"/>
        <v>0.3949004368961735</v>
      </c>
      <c r="K358" s="90"/>
    </row>
    <row r="359" spans="1:11" ht="12.75">
      <c r="A359" s="176"/>
      <c r="B359" s="159"/>
      <c r="C359" s="36">
        <v>4110</v>
      </c>
      <c r="D359" s="4" t="s">
        <v>83</v>
      </c>
      <c r="E359" s="6">
        <v>225000</v>
      </c>
      <c r="F359" s="116">
        <f t="shared" si="38"/>
        <v>0.7762068016774835</v>
      </c>
      <c r="G359" s="30">
        <v>236657</v>
      </c>
      <c r="H359" s="84"/>
      <c r="I359" s="54">
        <f t="shared" si="37"/>
        <v>105.18088888888887</v>
      </c>
      <c r="J359" s="37">
        <f t="shared" si="39"/>
        <v>0.9392558059752537</v>
      </c>
      <c r="K359" s="90"/>
    </row>
    <row r="360" spans="1:11" ht="12.75">
      <c r="A360" s="176"/>
      <c r="B360" s="159"/>
      <c r="C360" s="36">
        <v>4117</v>
      </c>
      <c r="D360" s="4" t="s">
        <v>83</v>
      </c>
      <c r="E360" s="6">
        <v>6585.8</v>
      </c>
      <c r="F360" s="116">
        <f t="shared" si="38"/>
        <v>0.022719745575500314</v>
      </c>
      <c r="G360" s="30">
        <v>2812.65</v>
      </c>
      <c r="H360" s="84"/>
      <c r="I360" s="54">
        <f t="shared" si="37"/>
        <v>42.707795560144554</v>
      </c>
      <c r="J360" s="37">
        <f aca="true" t="shared" si="40" ref="J360:J368">(G360/$G$807)*100</f>
        <v>0.011162982048603241</v>
      </c>
      <c r="K360" s="90"/>
    </row>
    <row r="361" spans="1:11" ht="12.75">
      <c r="A361" s="176"/>
      <c r="B361" s="159"/>
      <c r="C361" s="36">
        <v>4119</v>
      </c>
      <c r="D361" s="4" t="s">
        <v>83</v>
      </c>
      <c r="E361" s="6">
        <v>1162.2</v>
      </c>
      <c r="F361" s="116">
        <f t="shared" si="38"/>
        <v>0.004009366866264762</v>
      </c>
      <c r="G361" s="30">
        <v>496.35</v>
      </c>
      <c r="H361" s="84"/>
      <c r="I361" s="54">
        <f t="shared" si="37"/>
        <v>42.707795560144554</v>
      </c>
      <c r="J361" s="37">
        <f t="shared" si="40"/>
        <v>0.001969938008577043</v>
      </c>
      <c r="K361" s="90"/>
    </row>
    <row r="362" spans="1:11" ht="12.75">
      <c r="A362" s="176"/>
      <c r="B362" s="159"/>
      <c r="C362" s="36">
        <v>4120</v>
      </c>
      <c r="D362" s="4" t="s">
        <v>104</v>
      </c>
      <c r="E362" s="6">
        <v>29000</v>
      </c>
      <c r="F362" s="116">
        <f t="shared" si="38"/>
        <v>0.10004443221620898</v>
      </c>
      <c r="G362" s="30">
        <v>33729</v>
      </c>
      <c r="H362" s="84"/>
      <c r="I362" s="54">
        <f t="shared" si="37"/>
        <v>116.30689655172415</v>
      </c>
      <c r="J362" s="37">
        <f t="shared" si="40"/>
        <v>0.1338652948348848</v>
      </c>
      <c r="K362" s="90"/>
    </row>
    <row r="363" spans="1:11" ht="12.75">
      <c r="A363" s="176"/>
      <c r="B363" s="159"/>
      <c r="C363" s="36">
        <v>4127</v>
      </c>
      <c r="D363" s="4" t="s">
        <v>104</v>
      </c>
      <c r="E363" s="6">
        <v>936.7</v>
      </c>
      <c r="F363" s="116">
        <f t="shared" si="38"/>
        <v>0.00323143516058355</v>
      </c>
      <c r="G363" s="30">
        <v>182.75</v>
      </c>
      <c r="H363" s="84"/>
      <c r="I363" s="54">
        <f t="shared" si="37"/>
        <v>19.509981851179674</v>
      </c>
      <c r="J363" s="37">
        <f t="shared" si="40"/>
        <v>0.0007253070838469921</v>
      </c>
      <c r="K363" s="90"/>
    </row>
    <row r="364" spans="1:11" ht="12.75">
      <c r="A364" s="176"/>
      <c r="B364" s="159"/>
      <c r="C364" s="36">
        <v>4129</v>
      </c>
      <c r="D364" s="4" t="s">
        <v>104</v>
      </c>
      <c r="E364" s="6">
        <v>165.3</v>
      </c>
      <c r="F364" s="116">
        <f t="shared" si="38"/>
        <v>0.0005702532636323911</v>
      </c>
      <c r="G364" s="30">
        <v>32.25</v>
      </c>
      <c r="H364" s="84"/>
      <c r="I364" s="54">
        <f t="shared" si="37"/>
        <v>19.509981851179674</v>
      </c>
      <c r="J364" s="37">
        <f t="shared" si="40"/>
        <v>0.0001279953677377045</v>
      </c>
      <c r="K364" s="90"/>
    </row>
    <row r="365" spans="1:11" ht="12.75">
      <c r="A365" s="176"/>
      <c r="B365" s="159"/>
      <c r="C365" s="36">
        <v>4170</v>
      </c>
      <c r="D365" s="4" t="s">
        <v>85</v>
      </c>
      <c r="E365" s="6">
        <v>23000</v>
      </c>
      <c r="F365" s="116">
        <f t="shared" si="38"/>
        <v>0.07934558417147608</v>
      </c>
      <c r="G365" s="30">
        <v>10000</v>
      </c>
      <c r="H365" s="84"/>
      <c r="I365" s="54">
        <f t="shared" si="37"/>
        <v>43.47826086956522</v>
      </c>
      <c r="J365" s="37">
        <f t="shared" si="40"/>
        <v>0.03968848612021845</v>
      </c>
      <c r="K365" s="90"/>
    </row>
    <row r="366" spans="1:11" ht="12.75">
      <c r="A366" s="176"/>
      <c r="B366" s="159"/>
      <c r="C366" s="36">
        <v>4177</v>
      </c>
      <c r="D366" s="4" t="s">
        <v>85</v>
      </c>
      <c r="E366" s="6">
        <v>19380</v>
      </c>
      <c r="F366" s="116">
        <f t="shared" si="38"/>
        <v>0.06685727918448724</v>
      </c>
      <c r="G366" s="30">
        <v>15810</v>
      </c>
      <c r="H366" s="84"/>
      <c r="I366" s="54">
        <f t="shared" si="37"/>
        <v>81.57894736842105</v>
      </c>
      <c r="J366" s="37">
        <f t="shared" si="40"/>
        <v>0.06274749655606536</v>
      </c>
      <c r="K366" s="90"/>
    </row>
    <row r="367" spans="1:11" ht="12.75">
      <c r="A367" s="176"/>
      <c r="B367" s="159"/>
      <c r="C367" s="36">
        <v>4179</v>
      </c>
      <c r="D367" s="4" t="s">
        <v>85</v>
      </c>
      <c r="E367" s="6">
        <v>3420</v>
      </c>
      <c r="F367" s="116">
        <f t="shared" si="38"/>
        <v>0.011798343385497748</v>
      </c>
      <c r="G367" s="30">
        <v>2790</v>
      </c>
      <c r="H367" s="84"/>
      <c r="I367" s="54">
        <f t="shared" si="37"/>
        <v>81.57894736842105</v>
      </c>
      <c r="J367" s="37">
        <f t="shared" si="40"/>
        <v>0.011073087627540945</v>
      </c>
      <c r="K367" s="90"/>
    </row>
    <row r="368" spans="1:11" ht="12.75">
      <c r="A368" s="176"/>
      <c r="B368" s="159"/>
      <c r="C368" s="36">
        <v>4210</v>
      </c>
      <c r="D368" s="4" t="s">
        <v>73</v>
      </c>
      <c r="E368" s="6">
        <v>103650</v>
      </c>
      <c r="F368" s="116">
        <f t="shared" si="38"/>
        <v>0.3575725999727607</v>
      </c>
      <c r="G368" s="30">
        <v>146750</v>
      </c>
      <c r="H368" s="84"/>
      <c r="I368" s="54">
        <f t="shared" si="37"/>
        <v>141.58224794983116</v>
      </c>
      <c r="J368" s="37">
        <f t="shared" si="40"/>
        <v>0.5824285338142057</v>
      </c>
      <c r="K368" s="90"/>
    </row>
    <row r="369" spans="1:11" ht="12.75">
      <c r="A369" s="176"/>
      <c r="B369" s="159"/>
      <c r="C369" s="36">
        <v>4217</v>
      </c>
      <c r="D369" s="4" t="s">
        <v>73</v>
      </c>
      <c r="E369" s="6">
        <v>7448.55</v>
      </c>
      <c r="F369" s="116">
        <f t="shared" si="38"/>
        <v>0.02569606743393253</v>
      </c>
      <c r="G369" s="30">
        <v>3430.6</v>
      </c>
      <c r="H369" s="84"/>
      <c r="I369" s="54">
        <f t="shared" si="37"/>
        <v>46.05728631747119</v>
      </c>
      <c r="J369" s="37">
        <f>(G369/$G$807)*100</f>
        <v>0.01361553204840214</v>
      </c>
      <c r="K369" s="90"/>
    </row>
    <row r="370" spans="1:11" ht="12.75">
      <c r="A370" s="176"/>
      <c r="B370" s="159"/>
      <c r="C370" s="36">
        <v>4219</v>
      </c>
      <c r="D370" s="4" t="s">
        <v>73</v>
      </c>
      <c r="E370" s="6">
        <v>1314.45</v>
      </c>
      <c r="F370" s="116">
        <f t="shared" si="38"/>
        <v>0.004534600135399858</v>
      </c>
      <c r="G370" s="30">
        <v>605.4</v>
      </c>
      <c r="H370" s="84"/>
      <c r="I370" s="54">
        <f t="shared" si="37"/>
        <v>46.05728631747118</v>
      </c>
      <c r="J370" s="37">
        <f aca="true" t="shared" si="41" ref="J370:J378">(G370/$G$807)*100</f>
        <v>0.0024027409497180247</v>
      </c>
      <c r="K370" s="90"/>
    </row>
    <row r="371" spans="1:11" ht="22.5">
      <c r="A371" s="176"/>
      <c r="B371" s="159"/>
      <c r="C371" s="36">
        <v>4240</v>
      </c>
      <c r="D371" s="4" t="s">
        <v>157</v>
      </c>
      <c r="E371" s="6">
        <v>4000</v>
      </c>
      <c r="F371" s="116">
        <f t="shared" si="38"/>
        <v>0.013799232029821926</v>
      </c>
      <c r="G371" s="30">
        <v>8000</v>
      </c>
      <c r="H371" s="84"/>
      <c r="I371" s="54">
        <f t="shared" si="37"/>
        <v>200</v>
      </c>
      <c r="J371" s="37">
        <f t="shared" si="41"/>
        <v>0.031750788896174754</v>
      </c>
      <c r="K371" s="90"/>
    </row>
    <row r="372" spans="1:11" ht="22.5">
      <c r="A372" s="176"/>
      <c r="B372" s="159"/>
      <c r="C372" s="36">
        <v>4247</v>
      </c>
      <c r="D372" s="4" t="s">
        <v>157</v>
      </c>
      <c r="E372" s="6">
        <v>22618.5</v>
      </c>
      <c r="F372" s="116">
        <f t="shared" si="38"/>
        <v>0.07802948241663181</v>
      </c>
      <c r="G372" s="30">
        <v>5100</v>
      </c>
      <c r="H372" s="84"/>
      <c r="I372" s="54">
        <f t="shared" si="37"/>
        <v>22.547914317925592</v>
      </c>
      <c r="J372" s="37">
        <f t="shared" si="41"/>
        <v>0.020241127921311407</v>
      </c>
      <c r="K372" s="90"/>
    </row>
    <row r="373" spans="1:11" ht="22.5">
      <c r="A373" s="176"/>
      <c r="B373" s="159"/>
      <c r="C373" s="36">
        <v>4249</v>
      </c>
      <c r="D373" s="4" t="s">
        <v>157</v>
      </c>
      <c r="E373" s="6">
        <v>3991.5</v>
      </c>
      <c r="F373" s="116">
        <f t="shared" si="38"/>
        <v>0.013769908661758555</v>
      </c>
      <c r="G373" s="30">
        <v>900</v>
      </c>
      <c r="H373" s="84"/>
      <c r="I373" s="54">
        <f t="shared" si="37"/>
        <v>22.547914317925592</v>
      </c>
      <c r="J373" s="37">
        <f t="shared" si="41"/>
        <v>0.00357196375081966</v>
      </c>
      <c r="K373" s="90"/>
    </row>
    <row r="374" spans="1:11" ht="12.75">
      <c r="A374" s="176"/>
      <c r="B374" s="159"/>
      <c r="C374" s="36">
        <v>4260</v>
      </c>
      <c r="D374" s="4" t="s">
        <v>74</v>
      </c>
      <c r="E374" s="6">
        <v>26000</v>
      </c>
      <c r="F374" s="116">
        <f t="shared" si="38"/>
        <v>0.08969500819384253</v>
      </c>
      <c r="G374" s="30">
        <v>26500</v>
      </c>
      <c r="H374" s="84"/>
      <c r="I374" s="54">
        <f t="shared" si="37"/>
        <v>101.92307692307692</v>
      </c>
      <c r="J374" s="37">
        <f t="shared" si="41"/>
        <v>0.10517448821857889</v>
      </c>
      <c r="K374" s="90"/>
    </row>
    <row r="375" spans="1:11" ht="12.75">
      <c r="A375" s="176"/>
      <c r="B375" s="159"/>
      <c r="C375" s="36">
        <v>4270</v>
      </c>
      <c r="D375" s="4" t="s">
        <v>76</v>
      </c>
      <c r="E375" s="6">
        <v>4000</v>
      </c>
      <c r="F375" s="116">
        <f t="shared" si="38"/>
        <v>0.013799232029821926</v>
      </c>
      <c r="G375" s="30">
        <v>15000</v>
      </c>
      <c r="H375" s="84"/>
      <c r="I375" s="54">
        <f t="shared" si="37"/>
        <v>375</v>
      </c>
      <c r="J375" s="37">
        <f t="shared" si="41"/>
        <v>0.05953272918032766</v>
      </c>
      <c r="K375" s="90"/>
    </row>
    <row r="376" spans="1:11" ht="12.75">
      <c r="A376" s="176"/>
      <c r="B376" s="159"/>
      <c r="C376" s="36">
        <v>4280</v>
      </c>
      <c r="D376" s="4" t="s">
        <v>89</v>
      </c>
      <c r="E376" s="6">
        <v>1700</v>
      </c>
      <c r="F376" s="116">
        <f t="shared" si="38"/>
        <v>0.005864673612674319</v>
      </c>
      <c r="G376" s="30">
        <v>1500</v>
      </c>
      <c r="H376" s="84"/>
      <c r="I376" s="54">
        <f t="shared" si="37"/>
        <v>88.23529411764706</v>
      </c>
      <c r="J376" s="37">
        <f t="shared" si="41"/>
        <v>0.005953272918032767</v>
      </c>
      <c r="K376" s="90"/>
    </row>
    <row r="377" spans="1:11" ht="12.75">
      <c r="A377" s="176"/>
      <c r="B377" s="159"/>
      <c r="C377" s="36">
        <v>4300</v>
      </c>
      <c r="D377" s="4" t="s">
        <v>86</v>
      </c>
      <c r="E377" s="6">
        <v>117850</v>
      </c>
      <c r="F377" s="116">
        <f t="shared" si="38"/>
        <v>0.40655987367862856</v>
      </c>
      <c r="G377" s="30">
        <v>111900</v>
      </c>
      <c r="H377" s="84"/>
      <c r="I377" s="54">
        <f t="shared" si="37"/>
        <v>94.95120916419178</v>
      </c>
      <c r="J377" s="37">
        <f t="shared" si="41"/>
        <v>0.4441141596852444</v>
      </c>
      <c r="K377" s="90"/>
    </row>
    <row r="378" spans="1:11" ht="12.75">
      <c r="A378" s="176"/>
      <c r="B378" s="159"/>
      <c r="C378" s="36">
        <v>4307</v>
      </c>
      <c r="D378" s="4" t="s">
        <v>86</v>
      </c>
      <c r="E378" s="6">
        <v>119382.5</v>
      </c>
      <c r="F378" s="116">
        <f t="shared" si="38"/>
        <v>0.4118467044500541</v>
      </c>
      <c r="G378" s="30">
        <v>75905</v>
      </c>
      <c r="H378" s="84"/>
      <c r="I378" s="54">
        <f t="shared" si="37"/>
        <v>63.58134567461731</v>
      </c>
      <c r="J378" s="37">
        <f t="shared" si="41"/>
        <v>0.3012554538955181</v>
      </c>
      <c r="K378" s="90"/>
    </row>
    <row r="379" spans="1:11" ht="12.75">
      <c r="A379" s="176"/>
      <c r="B379" s="159"/>
      <c r="C379" s="36">
        <v>4309</v>
      </c>
      <c r="D379" s="4" t="s">
        <v>86</v>
      </c>
      <c r="E379" s="6">
        <v>24067.5</v>
      </c>
      <c r="F379" s="116">
        <f t="shared" si="38"/>
        <v>0.08302825421943481</v>
      </c>
      <c r="G379" s="30">
        <v>13395</v>
      </c>
      <c r="H379" s="84"/>
      <c r="I379" s="54">
        <f t="shared" si="37"/>
        <v>55.65596759114989</v>
      </c>
      <c r="J379" s="37">
        <f aca="true" t="shared" si="42" ref="J379:J388">(G379/$G$807)*100</f>
        <v>0.05316272715803261</v>
      </c>
      <c r="K379" s="90"/>
    </row>
    <row r="380" spans="1:11" ht="12.75">
      <c r="A380" s="176"/>
      <c r="B380" s="159"/>
      <c r="C380" s="36">
        <v>4350</v>
      </c>
      <c r="D380" s="4" t="s">
        <v>130</v>
      </c>
      <c r="E380" s="6">
        <v>550</v>
      </c>
      <c r="F380" s="116">
        <f aca="true" t="shared" si="43" ref="F380:F411">(E380/$E$807)*100</f>
        <v>0.0018973944041005151</v>
      </c>
      <c r="G380" s="30">
        <v>850</v>
      </c>
      <c r="H380" s="84"/>
      <c r="I380" s="54">
        <f t="shared" si="37"/>
        <v>154.54545454545453</v>
      </c>
      <c r="J380" s="37">
        <f t="shared" si="42"/>
        <v>0.003373521320218568</v>
      </c>
      <c r="K380" s="90"/>
    </row>
    <row r="381" spans="1:11" ht="22.5">
      <c r="A381" s="176"/>
      <c r="B381" s="159"/>
      <c r="C381" s="36">
        <v>4370</v>
      </c>
      <c r="D381" s="4" t="s">
        <v>147</v>
      </c>
      <c r="E381" s="6">
        <v>2800</v>
      </c>
      <c r="F381" s="116">
        <f t="shared" si="43"/>
        <v>0.009659462420875349</v>
      </c>
      <c r="G381" s="30">
        <v>3000</v>
      </c>
      <c r="H381" s="84"/>
      <c r="I381" s="54">
        <f t="shared" si="37"/>
        <v>107.14285714285714</v>
      </c>
      <c r="J381" s="37">
        <f t="shared" si="42"/>
        <v>0.011906545836065534</v>
      </c>
      <c r="K381" s="90"/>
    </row>
    <row r="382" spans="1:11" ht="12.75">
      <c r="A382" s="176"/>
      <c r="B382" s="159"/>
      <c r="C382" s="36">
        <v>4410</v>
      </c>
      <c r="D382" s="4" t="s">
        <v>122</v>
      </c>
      <c r="E382" s="6">
        <v>3000</v>
      </c>
      <c r="F382" s="116">
        <f t="shared" si="43"/>
        <v>0.010349424022366445</v>
      </c>
      <c r="G382" s="30">
        <v>3500</v>
      </c>
      <c r="H382" s="84"/>
      <c r="I382" s="54">
        <f t="shared" si="37"/>
        <v>116.66666666666667</v>
      </c>
      <c r="J382" s="37">
        <f t="shared" si="42"/>
        <v>0.013890970142076457</v>
      </c>
      <c r="K382" s="90"/>
    </row>
    <row r="383" spans="1:11" ht="12.75">
      <c r="A383" s="176"/>
      <c r="B383" s="159"/>
      <c r="C383" s="36">
        <v>4430</v>
      </c>
      <c r="D383" s="4" t="s">
        <v>87</v>
      </c>
      <c r="E383" s="6">
        <v>2500</v>
      </c>
      <c r="F383" s="116">
        <f t="shared" si="43"/>
        <v>0.008624520018638705</v>
      </c>
      <c r="G383" s="30">
        <v>2500</v>
      </c>
      <c r="H383" s="84"/>
      <c r="I383" s="54">
        <f t="shared" si="37"/>
        <v>100</v>
      </c>
      <c r="J383" s="37">
        <f t="shared" si="42"/>
        <v>0.009922121530054612</v>
      </c>
      <c r="K383" s="90"/>
    </row>
    <row r="384" spans="1:11" ht="12.75">
      <c r="A384" s="176"/>
      <c r="B384" s="159"/>
      <c r="C384" s="36">
        <v>4440</v>
      </c>
      <c r="D384" s="4" t="s">
        <v>158</v>
      </c>
      <c r="E384" s="6">
        <v>67000</v>
      </c>
      <c r="F384" s="116">
        <f t="shared" si="43"/>
        <v>0.2311371364995173</v>
      </c>
      <c r="G384" s="30">
        <v>64743</v>
      </c>
      <c r="H384" s="84"/>
      <c r="I384" s="54">
        <f t="shared" si="37"/>
        <v>96.6313432835821</v>
      </c>
      <c r="J384" s="37">
        <f t="shared" si="42"/>
        <v>0.25695516568813026</v>
      </c>
      <c r="K384" s="90"/>
    </row>
    <row r="385" spans="1:11" ht="12.75">
      <c r="A385" s="176"/>
      <c r="B385" s="159"/>
      <c r="C385" s="36">
        <v>4520</v>
      </c>
      <c r="D385" s="4" t="s">
        <v>294</v>
      </c>
      <c r="E385" s="6">
        <v>6274</v>
      </c>
      <c r="F385" s="116">
        <f t="shared" si="43"/>
        <v>0.02164409543877569</v>
      </c>
      <c r="G385" s="30">
        <v>6712</v>
      </c>
      <c r="H385" s="84"/>
      <c r="I385" s="54">
        <f t="shared" si="37"/>
        <v>106.98119222186804</v>
      </c>
      <c r="J385" s="37">
        <f t="shared" si="42"/>
        <v>0.026638911883890618</v>
      </c>
      <c r="K385" s="90"/>
    </row>
    <row r="386" spans="1:11" ht="22.5">
      <c r="A386" s="176"/>
      <c r="B386" s="159"/>
      <c r="C386" s="36">
        <v>4700</v>
      </c>
      <c r="D386" s="4" t="s">
        <v>240</v>
      </c>
      <c r="E386" s="6">
        <v>600</v>
      </c>
      <c r="F386" s="116">
        <f t="shared" si="43"/>
        <v>0.0020698848044732893</v>
      </c>
      <c r="G386" s="30">
        <v>600</v>
      </c>
      <c r="H386" s="84"/>
      <c r="I386" s="54">
        <f t="shared" si="37"/>
        <v>100</v>
      </c>
      <c r="J386" s="37">
        <f t="shared" si="42"/>
        <v>0.002381309167213107</v>
      </c>
      <c r="K386" s="90"/>
    </row>
    <row r="387" spans="1:11" ht="21">
      <c r="A387" s="176"/>
      <c r="B387" s="162"/>
      <c r="C387" s="50">
        <v>6060</v>
      </c>
      <c r="D387" s="3" t="s">
        <v>138</v>
      </c>
      <c r="E387" s="5">
        <v>500</v>
      </c>
      <c r="F387" s="116">
        <f t="shared" si="43"/>
        <v>0.0017249040037277407</v>
      </c>
      <c r="G387" s="26">
        <v>65000</v>
      </c>
      <c r="H387" s="26" t="e">
        <f>#REF!</f>
        <v>#REF!</v>
      </c>
      <c r="I387" s="54">
        <f t="shared" si="37"/>
        <v>13000</v>
      </c>
      <c r="J387" s="37">
        <f t="shared" si="42"/>
        <v>0.25797515978141994</v>
      </c>
      <c r="K387" s="90"/>
    </row>
    <row r="388" spans="1:11" ht="12.75">
      <c r="A388" s="176"/>
      <c r="B388" s="158">
        <v>80113</v>
      </c>
      <c r="C388" s="50"/>
      <c r="D388" s="3" t="s">
        <v>161</v>
      </c>
      <c r="E388" s="5">
        <f>E395+E396+E397+E399+E398+E394+E389+E390+E391+E392+E393+E400</f>
        <v>616691</v>
      </c>
      <c r="F388" s="116">
        <f t="shared" si="43"/>
        <v>2.1274655499257284</v>
      </c>
      <c r="G388" s="5">
        <f>G395+G396+G397+G399+G398+G394+G389+G390+G391+G392+G393+G400</f>
        <v>576967</v>
      </c>
      <c r="H388" s="5" t="e">
        <f>H395+H396+H397+H399+#REF!+H398+H394+H389+H390+H391+H392+H393+H400</f>
        <v>#REF!</v>
      </c>
      <c r="I388" s="54">
        <f t="shared" si="37"/>
        <v>93.55852444741369</v>
      </c>
      <c r="J388" s="37">
        <f t="shared" si="42"/>
        <v>2.2898946771324074</v>
      </c>
      <c r="K388" s="90"/>
    </row>
    <row r="389" spans="1:11" s="75" customFormat="1" ht="12.75">
      <c r="A389" s="176"/>
      <c r="B389" s="165"/>
      <c r="C389" s="36">
        <v>3020</v>
      </c>
      <c r="D389" s="4" t="s">
        <v>170</v>
      </c>
      <c r="E389" s="6">
        <v>100</v>
      </c>
      <c r="F389" s="116">
        <f t="shared" si="43"/>
        <v>0.00034498080074554815</v>
      </c>
      <c r="G389" s="6"/>
      <c r="H389" s="61"/>
      <c r="I389" s="54">
        <f t="shared" si="37"/>
        <v>0</v>
      </c>
      <c r="J389" s="37"/>
      <c r="K389" s="90"/>
    </row>
    <row r="390" spans="1:11" s="75" customFormat="1" ht="12.75">
      <c r="A390" s="176"/>
      <c r="B390" s="165"/>
      <c r="C390" s="36">
        <v>4010</v>
      </c>
      <c r="D390" s="4" t="s">
        <v>93</v>
      </c>
      <c r="E390" s="6">
        <v>23500</v>
      </c>
      <c r="F390" s="116">
        <f t="shared" si="43"/>
        <v>0.08107048817520382</v>
      </c>
      <c r="G390" s="6"/>
      <c r="H390" s="61"/>
      <c r="I390" s="54">
        <f t="shared" si="37"/>
        <v>0</v>
      </c>
      <c r="J390" s="37"/>
      <c r="K390" s="90"/>
    </row>
    <row r="391" spans="1:11" s="75" customFormat="1" ht="12.75">
      <c r="A391" s="176"/>
      <c r="B391" s="165"/>
      <c r="C391" s="36">
        <v>4040</v>
      </c>
      <c r="D391" s="4" t="s">
        <v>155</v>
      </c>
      <c r="E391" s="6">
        <v>2572</v>
      </c>
      <c r="F391" s="116">
        <f t="shared" si="43"/>
        <v>0.008872906195175499</v>
      </c>
      <c r="G391" s="6"/>
      <c r="H391" s="61"/>
      <c r="I391" s="54">
        <f t="shared" si="37"/>
        <v>0</v>
      </c>
      <c r="J391" s="37"/>
      <c r="K391" s="90"/>
    </row>
    <row r="392" spans="1:11" s="75" customFormat="1" ht="12.75">
      <c r="A392" s="176"/>
      <c r="B392" s="165"/>
      <c r="C392" s="36">
        <v>4110</v>
      </c>
      <c r="D392" s="4" t="s">
        <v>83</v>
      </c>
      <c r="E392" s="6">
        <v>6150</v>
      </c>
      <c r="F392" s="116">
        <f t="shared" si="43"/>
        <v>0.021216319245851215</v>
      </c>
      <c r="G392" s="6"/>
      <c r="H392" s="61"/>
      <c r="I392" s="54">
        <f t="shared" si="37"/>
        <v>0</v>
      </c>
      <c r="J392" s="37"/>
      <c r="K392" s="90"/>
    </row>
    <row r="393" spans="1:11" s="75" customFormat="1" ht="12.75">
      <c r="A393" s="176"/>
      <c r="B393" s="165"/>
      <c r="C393" s="36">
        <v>4120</v>
      </c>
      <c r="D393" s="4" t="s">
        <v>104</v>
      </c>
      <c r="E393" s="6">
        <v>820</v>
      </c>
      <c r="F393" s="116">
        <f t="shared" si="43"/>
        <v>0.0028288425661134953</v>
      </c>
      <c r="G393" s="6"/>
      <c r="H393" s="61"/>
      <c r="I393" s="54">
        <f t="shared" si="37"/>
        <v>0</v>
      </c>
      <c r="J393" s="37"/>
      <c r="K393" s="90"/>
    </row>
    <row r="394" spans="1:11" s="16" customFormat="1" ht="12.75">
      <c r="A394" s="176"/>
      <c r="B394" s="165"/>
      <c r="C394" s="36">
        <v>4170</v>
      </c>
      <c r="D394" s="4" t="s">
        <v>85</v>
      </c>
      <c r="E394" s="6">
        <v>8203</v>
      </c>
      <c r="F394" s="116">
        <f t="shared" si="43"/>
        <v>0.02829877508515732</v>
      </c>
      <c r="G394" s="6"/>
      <c r="H394" s="61"/>
      <c r="I394" s="54">
        <f t="shared" si="37"/>
        <v>0</v>
      </c>
      <c r="J394" s="37">
        <f aca="true" t="shared" si="44" ref="J394:J425">(G394/$G$807)*100</f>
        <v>0</v>
      </c>
      <c r="K394" s="90"/>
    </row>
    <row r="395" spans="1:11" ht="12.75">
      <c r="A395" s="176"/>
      <c r="B395" s="159"/>
      <c r="C395" s="36">
        <v>4210</v>
      </c>
      <c r="D395" s="4" t="s">
        <v>73</v>
      </c>
      <c r="E395" s="6">
        <v>25500</v>
      </c>
      <c r="F395" s="116">
        <f t="shared" si="43"/>
        <v>0.08797010419011479</v>
      </c>
      <c r="G395" s="30"/>
      <c r="H395" s="84"/>
      <c r="I395" s="54">
        <f t="shared" si="37"/>
        <v>0</v>
      </c>
      <c r="J395" s="37">
        <f t="shared" si="44"/>
        <v>0</v>
      </c>
      <c r="K395" s="90"/>
    </row>
    <row r="396" spans="1:11" ht="12.75">
      <c r="A396" s="176"/>
      <c r="B396" s="159"/>
      <c r="C396" s="36">
        <v>4270</v>
      </c>
      <c r="D396" s="4" t="s">
        <v>76</v>
      </c>
      <c r="E396" s="6">
        <v>1300</v>
      </c>
      <c r="F396" s="116">
        <f t="shared" si="43"/>
        <v>0.004484750409692127</v>
      </c>
      <c r="G396" s="30"/>
      <c r="H396" s="84"/>
      <c r="I396" s="54">
        <f t="shared" si="37"/>
        <v>0</v>
      </c>
      <c r="J396" s="37">
        <f t="shared" si="44"/>
        <v>0</v>
      </c>
      <c r="K396" s="90"/>
    </row>
    <row r="397" spans="1:11" ht="12.75">
      <c r="A397" s="176"/>
      <c r="B397" s="159"/>
      <c r="C397" s="36">
        <v>4300</v>
      </c>
      <c r="D397" s="4" t="s">
        <v>86</v>
      </c>
      <c r="E397" s="6">
        <v>543000</v>
      </c>
      <c r="F397" s="116">
        <f t="shared" si="43"/>
        <v>1.8732457480483264</v>
      </c>
      <c r="G397" s="30">
        <v>574967</v>
      </c>
      <c r="H397" s="84"/>
      <c r="I397" s="54">
        <f t="shared" si="37"/>
        <v>105.88710865561694</v>
      </c>
      <c r="J397" s="37">
        <f t="shared" si="44"/>
        <v>2.281956979908364</v>
      </c>
      <c r="K397" s="90"/>
    </row>
    <row r="398" spans="1:11" ht="30" customHeight="1">
      <c r="A398" s="176"/>
      <c r="B398" s="159"/>
      <c r="C398" s="36">
        <v>4360</v>
      </c>
      <c r="D398" s="4" t="s">
        <v>162</v>
      </c>
      <c r="E398" s="6">
        <v>870</v>
      </c>
      <c r="F398" s="116">
        <f t="shared" si="43"/>
        <v>0.0030013329664862693</v>
      </c>
      <c r="G398" s="30"/>
      <c r="H398" s="84"/>
      <c r="I398" s="54">
        <f t="shared" si="37"/>
        <v>0</v>
      </c>
      <c r="J398" s="37">
        <f t="shared" si="44"/>
        <v>0</v>
      </c>
      <c r="K398" s="90"/>
    </row>
    <row r="399" spans="1:11" ht="12.75">
      <c r="A399" s="176"/>
      <c r="B399" s="159"/>
      <c r="C399" s="36">
        <v>4430</v>
      </c>
      <c r="D399" s="4" t="s">
        <v>87</v>
      </c>
      <c r="E399" s="6">
        <v>3946</v>
      </c>
      <c r="F399" s="116">
        <f t="shared" si="43"/>
        <v>0.013612942397419331</v>
      </c>
      <c r="G399" s="30">
        <v>2000</v>
      </c>
      <c r="H399" s="84"/>
      <c r="I399" s="54">
        <f t="shared" si="37"/>
        <v>50.68423720223011</v>
      </c>
      <c r="J399" s="37">
        <f t="shared" si="44"/>
        <v>0.007937697224043689</v>
      </c>
      <c r="K399" s="90"/>
    </row>
    <row r="400" spans="1:11" ht="12.75">
      <c r="A400" s="176"/>
      <c r="B400" s="163"/>
      <c r="C400" s="36">
        <v>4440</v>
      </c>
      <c r="D400" s="4" t="s">
        <v>197</v>
      </c>
      <c r="E400" s="6">
        <v>730</v>
      </c>
      <c r="F400" s="116">
        <f t="shared" si="43"/>
        <v>0.002518359845442502</v>
      </c>
      <c r="G400" s="30"/>
      <c r="H400" s="84"/>
      <c r="I400" s="54">
        <f t="shared" si="37"/>
        <v>0</v>
      </c>
      <c r="J400" s="37">
        <f t="shared" si="44"/>
        <v>0</v>
      </c>
      <c r="K400" s="90"/>
    </row>
    <row r="401" spans="1:11" ht="21">
      <c r="A401" s="176"/>
      <c r="B401" s="157">
        <v>80114</v>
      </c>
      <c r="C401" s="50"/>
      <c r="D401" s="3" t="s">
        <v>57</v>
      </c>
      <c r="E401" s="5">
        <f>E402+E403+E404+E405+E406+E408+E409+E411+E413+E418+E420+E421+E412+E415+E416+E422+E419+E410+E414+E407+E417</f>
        <v>486224</v>
      </c>
      <c r="F401" s="116">
        <f t="shared" si="43"/>
        <v>1.6773794486170341</v>
      </c>
      <c r="G401" s="5">
        <f>G402+G403+G404+G405+G406+G408+G409+G411+G413+G418+G420+G421+G412+G415+G416+G422+G419+G410+G414+G407+G417</f>
        <v>484938</v>
      </c>
      <c r="H401" s="5">
        <f>H402+H403+H404+H405+H406+H408+H409+H411+H413+H418+H420+H421+H412+H415+H416+H422+H419+H410+H414+H407+H417</f>
        <v>0</v>
      </c>
      <c r="I401" s="54">
        <f>(G401/E401)*100</f>
        <v>99.73551285004443</v>
      </c>
      <c r="J401" s="37">
        <f t="shared" si="44"/>
        <v>1.9246455082166491</v>
      </c>
      <c r="K401" s="90"/>
    </row>
    <row r="402" spans="1:11" ht="24" customHeight="1">
      <c r="A402" s="176"/>
      <c r="B402" s="161"/>
      <c r="C402" s="36">
        <v>3020</v>
      </c>
      <c r="D402" s="4" t="s">
        <v>154</v>
      </c>
      <c r="E402" s="6">
        <v>3300</v>
      </c>
      <c r="F402" s="116">
        <f t="shared" si="43"/>
        <v>0.01138436642460309</v>
      </c>
      <c r="G402" s="30">
        <v>2300</v>
      </c>
      <c r="H402" s="84"/>
      <c r="I402" s="54">
        <f aca="true" t="shared" si="45" ref="I402:I466">(G402/E402)*100</f>
        <v>69.6969696969697</v>
      </c>
      <c r="J402" s="37">
        <f t="shared" si="44"/>
        <v>0.009128351807650242</v>
      </c>
      <c r="K402" s="90"/>
    </row>
    <row r="403" spans="1:11" ht="12.75">
      <c r="A403" s="176"/>
      <c r="B403" s="161"/>
      <c r="C403" s="36">
        <v>4010</v>
      </c>
      <c r="D403" s="4" t="s">
        <v>93</v>
      </c>
      <c r="E403" s="6">
        <v>324500</v>
      </c>
      <c r="F403" s="116">
        <f t="shared" si="43"/>
        <v>1.119462698419304</v>
      </c>
      <c r="G403" s="30">
        <v>315560</v>
      </c>
      <c r="H403" s="84"/>
      <c r="I403" s="54">
        <f t="shared" si="45"/>
        <v>97.24499229583975</v>
      </c>
      <c r="J403" s="37">
        <f t="shared" si="44"/>
        <v>1.2524098680096134</v>
      </c>
      <c r="K403" s="90"/>
    </row>
    <row r="404" spans="1:11" ht="12.75">
      <c r="A404" s="176"/>
      <c r="B404" s="161"/>
      <c r="C404" s="36">
        <v>4040</v>
      </c>
      <c r="D404" s="4" t="s">
        <v>155</v>
      </c>
      <c r="E404" s="6">
        <v>25290</v>
      </c>
      <c r="F404" s="116">
        <f t="shared" si="43"/>
        <v>0.08724564450854913</v>
      </c>
      <c r="G404" s="30">
        <v>27700</v>
      </c>
      <c r="H404" s="84"/>
      <c r="I404" s="54">
        <f t="shared" si="45"/>
        <v>109.52945828390668</v>
      </c>
      <c r="J404" s="37">
        <f t="shared" si="44"/>
        <v>0.1099371065530051</v>
      </c>
      <c r="K404" s="90"/>
    </row>
    <row r="405" spans="1:11" ht="12.75">
      <c r="A405" s="176"/>
      <c r="B405" s="161"/>
      <c r="C405" s="36">
        <v>4110</v>
      </c>
      <c r="D405" s="4" t="s">
        <v>83</v>
      </c>
      <c r="E405" s="6">
        <v>60000</v>
      </c>
      <c r="F405" s="116">
        <f t="shared" si="43"/>
        <v>0.20698848044732893</v>
      </c>
      <c r="G405" s="30">
        <v>60900</v>
      </c>
      <c r="H405" s="84"/>
      <c r="I405" s="54">
        <f t="shared" si="45"/>
        <v>101.49999999999999</v>
      </c>
      <c r="J405" s="37">
        <f t="shared" si="44"/>
        <v>0.24170288047213034</v>
      </c>
      <c r="K405" s="90"/>
    </row>
    <row r="406" spans="1:11" ht="12.75">
      <c r="A406" s="176"/>
      <c r="B406" s="161"/>
      <c r="C406" s="36">
        <v>4120</v>
      </c>
      <c r="D406" s="4" t="s">
        <v>104</v>
      </c>
      <c r="E406" s="6">
        <v>5300</v>
      </c>
      <c r="F406" s="116">
        <f t="shared" si="43"/>
        <v>0.018283982439514054</v>
      </c>
      <c r="G406" s="30">
        <v>8700</v>
      </c>
      <c r="H406" s="84"/>
      <c r="I406" s="54">
        <f t="shared" si="45"/>
        <v>164.1509433962264</v>
      </c>
      <c r="J406" s="37">
        <f t="shared" si="44"/>
        <v>0.03452898292459005</v>
      </c>
      <c r="K406" s="90"/>
    </row>
    <row r="407" spans="1:11" ht="12.75">
      <c r="A407" s="176"/>
      <c r="B407" s="161"/>
      <c r="C407" s="36">
        <v>4140</v>
      </c>
      <c r="D407" s="4" t="s">
        <v>296</v>
      </c>
      <c r="E407" s="6"/>
      <c r="F407" s="116">
        <f t="shared" si="43"/>
        <v>0</v>
      </c>
      <c r="G407" s="30">
        <v>500</v>
      </c>
      <c r="H407" s="84"/>
      <c r="I407" s="54" t="e">
        <f t="shared" si="45"/>
        <v>#DIV/0!</v>
      </c>
      <c r="J407" s="37">
        <f t="shared" si="44"/>
        <v>0.001984424306010922</v>
      </c>
      <c r="K407" s="90"/>
    </row>
    <row r="408" spans="1:11" ht="12.75">
      <c r="A408" s="176"/>
      <c r="B408" s="161"/>
      <c r="C408" s="36">
        <v>4170</v>
      </c>
      <c r="D408" s="4" t="s">
        <v>85</v>
      </c>
      <c r="E408" s="6"/>
      <c r="F408" s="116">
        <f t="shared" si="43"/>
        <v>0</v>
      </c>
      <c r="G408" s="30">
        <v>1000</v>
      </c>
      <c r="H408" s="84"/>
      <c r="I408" s="54" t="e">
        <f t="shared" si="45"/>
        <v>#DIV/0!</v>
      </c>
      <c r="J408" s="37">
        <f t="shared" si="44"/>
        <v>0.003968848612021844</v>
      </c>
      <c r="K408" s="90"/>
    </row>
    <row r="409" spans="1:11" ht="12.75">
      <c r="A409" s="176"/>
      <c r="B409" s="161"/>
      <c r="C409" s="36">
        <v>4210</v>
      </c>
      <c r="D409" s="4" t="s">
        <v>73</v>
      </c>
      <c r="E409" s="6">
        <v>21000</v>
      </c>
      <c r="F409" s="116">
        <f t="shared" si="43"/>
        <v>0.07244596815656512</v>
      </c>
      <c r="G409" s="30">
        <v>20500</v>
      </c>
      <c r="H409" s="84"/>
      <c r="I409" s="54">
        <f t="shared" si="45"/>
        <v>97.61904761904762</v>
      </c>
      <c r="J409" s="37">
        <f t="shared" si="44"/>
        <v>0.08136139654644782</v>
      </c>
      <c r="K409" s="90"/>
    </row>
    <row r="410" spans="1:11" ht="12.75">
      <c r="A410" s="176"/>
      <c r="B410" s="161"/>
      <c r="C410" s="36">
        <v>4260</v>
      </c>
      <c r="D410" s="4" t="s">
        <v>74</v>
      </c>
      <c r="E410" s="6">
        <v>5600</v>
      </c>
      <c r="F410" s="116">
        <f t="shared" si="43"/>
        <v>0.019318924841750698</v>
      </c>
      <c r="G410" s="30">
        <v>5600</v>
      </c>
      <c r="H410" s="84"/>
      <c r="I410" s="54">
        <f t="shared" si="45"/>
        <v>100</v>
      </c>
      <c r="J410" s="37">
        <f t="shared" si="44"/>
        <v>0.02222555222732233</v>
      </c>
      <c r="K410" s="90"/>
    </row>
    <row r="411" spans="1:11" ht="12.75">
      <c r="A411" s="176"/>
      <c r="B411" s="161"/>
      <c r="C411" s="36">
        <v>4270</v>
      </c>
      <c r="D411" s="4" t="s">
        <v>76</v>
      </c>
      <c r="E411" s="6">
        <v>2500</v>
      </c>
      <c r="F411" s="116">
        <f t="shared" si="43"/>
        <v>0.008624520018638705</v>
      </c>
      <c r="G411" s="30">
        <v>2500</v>
      </c>
      <c r="H411" s="84"/>
      <c r="I411" s="54">
        <f t="shared" si="45"/>
        <v>100</v>
      </c>
      <c r="J411" s="37">
        <f t="shared" si="44"/>
        <v>0.009922121530054612</v>
      </c>
      <c r="K411" s="90"/>
    </row>
    <row r="412" spans="1:11" ht="12.75">
      <c r="A412" s="176"/>
      <c r="B412" s="161"/>
      <c r="C412" s="36">
        <v>4280</v>
      </c>
      <c r="D412" s="4" t="s">
        <v>89</v>
      </c>
      <c r="E412" s="6">
        <v>500</v>
      </c>
      <c r="F412" s="116">
        <f aca="true" t="shared" si="46" ref="F412:F422">(E412/$E$807)*100</f>
        <v>0.0017249040037277407</v>
      </c>
      <c r="G412" s="30">
        <v>500</v>
      </c>
      <c r="H412" s="84"/>
      <c r="I412" s="54">
        <f t="shared" si="45"/>
        <v>100</v>
      </c>
      <c r="J412" s="37">
        <f t="shared" si="44"/>
        <v>0.001984424306010922</v>
      </c>
      <c r="K412" s="90"/>
    </row>
    <row r="413" spans="1:11" ht="12.75">
      <c r="A413" s="176"/>
      <c r="B413" s="161"/>
      <c r="C413" s="36">
        <v>4300</v>
      </c>
      <c r="D413" s="4" t="s">
        <v>86</v>
      </c>
      <c r="E413" s="6">
        <v>10000</v>
      </c>
      <c r="F413" s="116">
        <f t="shared" si="46"/>
        <v>0.03449808007455482</v>
      </c>
      <c r="G413" s="30">
        <v>10340</v>
      </c>
      <c r="H413" s="84"/>
      <c r="I413" s="54">
        <f t="shared" si="45"/>
        <v>103.4</v>
      </c>
      <c r="J413" s="37">
        <f t="shared" si="44"/>
        <v>0.04103789464830587</v>
      </c>
      <c r="K413" s="90"/>
    </row>
    <row r="414" spans="1:11" ht="12.75">
      <c r="A414" s="176"/>
      <c r="B414" s="161"/>
      <c r="C414" s="36">
        <v>4350</v>
      </c>
      <c r="D414" s="4" t="s">
        <v>241</v>
      </c>
      <c r="E414" s="6">
        <v>588</v>
      </c>
      <c r="F414" s="116">
        <f t="shared" si="46"/>
        <v>0.0020284871083838234</v>
      </c>
      <c r="G414" s="30">
        <v>588</v>
      </c>
      <c r="H414" s="84"/>
      <c r="I414" s="54">
        <f t="shared" si="45"/>
        <v>100</v>
      </c>
      <c r="J414" s="37">
        <f t="shared" si="44"/>
        <v>0.0023336829838688446</v>
      </c>
      <c r="K414" s="90"/>
    </row>
    <row r="415" spans="1:11" ht="26.25" customHeight="1">
      <c r="A415" s="176"/>
      <c r="B415" s="161"/>
      <c r="C415" s="36">
        <v>4360</v>
      </c>
      <c r="D415" s="4" t="s">
        <v>162</v>
      </c>
      <c r="E415" s="6">
        <v>4000</v>
      </c>
      <c r="F415" s="116">
        <f t="shared" si="46"/>
        <v>0.013799232029821926</v>
      </c>
      <c r="G415" s="30">
        <v>4000</v>
      </c>
      <c r="H415" s="84"/>
      <c r="I415" s="54">
        <f t="shared" si="45"/>
        <v>100</v>
      </c>
      <c r="J415" s="37">
        <f t="shared" si="44"/>
        <v>0.015875394448087377</v>
      </c>
      <c r="K415" s="90"/>
    </row>
    <row r="416" spans="1:11" ht="21.75" customHeight="1">
      <c r="A416" s="176"/>
      <c r="B416" s="161"/>
      <c r="C416" s="36">
        <v>4370</v>
      </c>
      <c r="D416" s="4" t="s">
        <v>147</v>
      </c>
      <c r="E416" s="6">
        <v>3500</v>
      </c>
      <c r="F416" s="116">
        <f t="shared" si="46"/>
        <v>0.012074328026094186</v>
      </c>
      <c r="G416" s="30">
        <v>3400</v>
      </c>
      <c r="H416" s="84"/>
      <c r="I416" s="54">
        <f t="shared" si="45"/>
        <v>97.14285714285714</v>
      </c>
      <c r="J416" s="37">
        <f t="shared" si="44"/>
        <v>0.013494085280874271</v>
      </c>
      <c r="K416" s="90"/>
    </row>
    <row r="417" spans="1:11" ht="26.25" customHeight="1">
      <c r="A417" s="176"/>
      <c r="B417" s="161"/>
      <c r="C417" s="36">
        <v>4400</v>
      </c>
      <c r="D417" s="4" t="s">
        <v>243</v>
      </c>
      <c r="E417" s="6">
        <v>3600</v>
      </c>
      <c r="F417" s="116">
        <f t="shared" si="46"/>
        <v>0.012419308826839734</v>
      </c>
      <c r="G417" s="30">
        <v>3600</v>
      </c>
      <c r="H417" s="84"/>
      <c r="I417" s="54">
        <f t="shared" si="45"/>
        <v>100</v>
      </c>
      <c r="J417" s="37">
        <f t="shared" si="44"/>
        <v>0.01428785500327864</v>
      </c>
      <c r="K417" s="90"/>
    </row>
    <row r="418" spans="1:11" ht="12.75">
      <c r="A418" s="176"/>
      <c r="B418" s="161"/>
      <c r="C418" s="36">
        <v>4410</v>
      </c>
      <c r="D418" s="4" t="s">
        <v>122</v>
      </c>
      <c r="E418" s="6">
        <v>400</v>
      </c>
      <c r="F418" s="116">
        <f t="shared" si="46"/>
        <v>0.0013799232029821926</v>
      </c>
      <c r="G418" s="30">
        <v>600</v>
      </c>
      <c r="H418" s="84"/>
      <c r="I418" s="54">
        <f t="shared" si="45"/>
        <v>150</v>
      </c>
      <c r="J418" s="37">
        <f t="shared" si="44"/>
        <v>0.002381309167213107</v>
      </c>
      <c r="K418" s="90"/>
    </row>
    <row r="419" spans="1:11" ht="12.75">
      <c r="A419" s="176"/>
      <c r="B419" s="161"/>
      <c r="C419" s="36">
        <v>4420</v>
      </c>
      <c r="D419" s="4" t="s">
        <v>124</v>
      </c>
      <c r="E419" s="6"/>
      <c r="F419" s="116">
        <f t="shared" si="46"/>
        <v>0</v>
      </c>
      <c r="G419" s="30"/>
      <c r="H419" s="84"/>
      <c r="I419" s="54"/>
      <c r="J419" s="37">
        <f t="shared" si="44"/>
        <v>0</v>
      </c>
      <c r="K419" s="90"/>
    </row>
    <row r="420" spans="1:11" ht="12.75">
      <c r="A420" s="176"/>
      <c r="B420" s="161"/>
      <c r="C420" s="36">
        <v>4430</v>
      </c>
      <c r="D420" s="4" t="s">
        <v>87</v>
      </c>
      <c r="E420" s="6">
        <v>2300</v>
      </c>
      <c r="F420" s="116">
        <f t="shared" si="46"/>
        <v>0.007934558417147608</v>
      </c>
      <c r="G420" s="30">
        <v>2300</v>
      </c>
      <c r="H420" s="84"/>
      <c r="I420" s="54">
        <f t="shared" si="45"/>
        <v>100</v>
      </c>
      <c r="J420" s="37">
        <f t="shared" si="44"/>
        <v>0.009128351807650242</v>
      </c>
      <c r="K420" s="90"/>
    </row>
    <row r="421" spans="1:11" ht="12.75">
      <c r="A421" s="176"/>
      <c r="B421" s="161"/>
      <c r="C421" s="36">
        <v>4440</v>
      </c>
      <c r="D421" s="4" t="s">
        <v>158</v>
      </c>
      <c r="E421" s="6">
        <v>9846</v>
      </c>
      <c r="F421" s="116">
        <f t="shared" si="46"/>
        <v>0.03396680964140667</v>
      </c>
      <c r="G421" s="30">
        <v>10350</v>
      </c>
      <c r="H421" s="84"/>
      <c r="I421" s="54">
        <f t="shared" si="45"/>
        <v>105.11882998171846</v>
      </c>
      <c r="J421" s="37">
        <f t="shared" si="44"/>
        <v>0.04107758313442609</v>
      </c>
      <c r="K421" s="90"/>
    </row>
    <row r="422" spans="1:11" ht="22.5">
      <c r="A422" s="176"/>
      <c r="B422" s="161"/>
      <c r="C422" s="36">
        <v>4700</v>
      </c>
      <c r="D422" s="4" t="s">
        <v>137</v>
      </c>
      <c r="E422" s="6">
        <v>4000</v>
      </c>
      <c r="F422" s="116">
        <f t="shared" si="46"/>
        <v>0.013799232029821926</v>
      </c>
      <c r="G422" s="30">
        <v>4000</v>
      </c>
      <c r="H422" s="84"/>
      <c r="I422" s="54">
        <f t="shared" si="45"/>
        <v>100</v>
      </c>
      <c r="J422" s="37">
        <f t="shared" si="44"/>
        <v>0.015875394448087377</v>
      </c>
      <c r="K422" s="90"/>
    </row>
    <row r="423" spans="1:11" ht="12.75">
      <c r="A423" s="176"/>
      <c r="B423" s="158">
        <v>80120</v>
      </c>
      <c r="C423" s="50"/>
      <c r="D423" s="3" t="s">
        <v>163</v>
      </c>
      <c r="E423" s="5">
        <f>SUM(E424:E444)</f>
        <v>512212</v>
      </c>
      <c r="F423" s="5">
        <f>SUM(F424:F444)</f>
        <v>1.7670330591147871</v>
      </c>
      <c r="G423" s="5">
        <f>SUM(G424:G444)</f>
        <v>405539.99999999994</v>
      </c>
      <c r="H423" s="5">
        <f>SUM(H424:H444)</f>
        <v>0</v>
      </c>
      <c r="I423" s="54">
        <f t="shared" si="45"/>
        <v>79.17424816287006</v>
      </c>
      <c r="J423" s="37">
        <f t="shared" si="44"/>
        <v>1.6095268661193387</v>
      </c>
      <c r="K423" s="90"/>
    </row>
    <row r="424" spans="1:11" ht="28.5" customHeight="1">
      <c r="A424" s="176"/>
      <c r="B424" s="159"/>
      <c r="C424" s="36">
        <v>3020</v>
      </c>
      <c r="D424" s="4" t="s">
        <v>154</v>
      </c>
      <c r="E424" s="6">
        <v>21513</v>
      </c>
      <c r="F424" s="116">
        <f aca="true" t="shared" si="47" ref="F424:F470">(E424/$E$807)*100</f>
        <v>0.07421571966438978</v>
      </c>
      <c r="G424" s="30">
        <v>20388</v>
      </c>
      <c r="H424" s="84"/>
      <c r="I424" s="54">
        <f t="shared" si="45"/>
        <v>94.77060382094548</v>
      </c>
      <c r="J424" s="37">
        <f t="shared" si="44"/>
        <v>0.08091688550190136</v>
      </c>
      <c r="K424" s="90"/>
    </row>
    <row r="425" spans="1:11" ht="12.75">
      <c r="A425" s="176"/>
      <c r="B425" s="159"/>
      <c r="C425" s="36">
        <v>4010</v>
      </c>
      <c r="D425" s="4" t="s">
        <v>93</v>
      </c>
      <c r="E425" s="6">
        <v>217500</v>
      </c>
      <c r="F425" s="116">
        <f t="shared" si="47"/>
        <v>0.7503332416215672</v>
      </c>
      <c r="G425" s="30">
        <v>203470</v>
      </c>
      <c r="H425" s="84"/>
      <c r="I425" s="54">
        <f t="shared" si="45"/>
        <v>93.54942528735633</v>
      </c>
      <c r="J425" s="37">
        <f t="shared" si="44"/>
        <v>0.8075416270880847</v>
      </c>
      <c r="K425" s="90"/>
    </row>
    <row r="426" spans="1:11" ht="12.75">
      <c r="A426" s="176"/>
      <c r="B426" s="159"/>
      <c r="C426" s="36">
        <v>4017</v>
      </c>
      <c r="D426" s="4" t="s">
        <v>93</v>
      </c>
      <c r="E426" s="6">
        <v>13600</v>
      </c>
      <c r="F426" s="116">
        <f t="shared" si="47"/>
        <v>0.046917388901394554</v>
      </c>
      <c r="G426" s="30">
        <v>6820.49</v>
      </c>
      <c r="H426" s="84"/>
      <c r="I426" s="54">
        <f t="shared" si="45"/>
        <v>50.15066176470589</v>
      </c>
      <c r="J426" s="37">
        <f aca="true" t="shared" si="48" ref="J426:J460">(G426/$G$807)*100</f>
        <v>0.02706949226980887</v>
      </c>
      <c r="K426" s="90"/>
    </row>
    <row r="427" spans="1:11" ht="12.75">
      <c r="A427" s="176"/>
      <c r="B427" s="159"/>
      <c r="C427" s="36">
        <v>4019</v>
      </c>
      <c r="D427" s="4" t="s">
        <v>93</v>
      </c>
      <c r="E427" s="6">
        <v>2400</v>
      </c>
      <c r="F427" s="116">
        <f t="shared" si="47"/>
        <v>0.008279539217893157</v>
      </c>
      <c r="G427" s="30">
        <v>1203.61</v>
      </c>
      <c r="H427" s="84"/>
      <c r="I427" s="54">
        <f t="shared" si="45"/>
        <v>50.150416666666665</v>
      </c>
      <c r="J427" s="37">
        <f t="shared" si="48"/>
        <v>0.004776945877915612</v>
      </c>
      <c r="K427" s="90"/>
    </row>
    <row r="428" spans="1:11" ht="12.75">
      <c r="A428" s="176"/>
      <c r="B428" s="159"/>
      <c r="C428" s="36">
        <v>4040</v>
      </c>
      <c r="D428" s="4" t="s">
        <v>155</v>
      </c>
      <c r="E428" s="6">
        <v>20722</v>
      </c>
      <c r="F428" s="116">
        <f t="shared" si="47"/>
        <v>0.07148692153049249</v>
      </c>
      <c r="G428" s="30">
        <v>18830</v>
      </c>
      <c r="H428" s="84"/>
      <c r="I428" s="54">
        <f t="shared" si="45"/>
        <v>90.86960718077405</v>
      </c>
      <c r="J428" s="37">
        <f t="shared" si="48"/>
        <v>0.07473341936437133</v>
      </c>
      <c r="K428" s="90"/>
    </row>
    <row r="429" spans="1:11" ht="12.75">
      <c r="A429" s="176"/>
      <c r="B429" s="159"/>
      <c r="C429" s="36">
        <v>4110</v>
      </c>
      <c r="D429" s="4" t="s">
        <v>83</v>
      </c>
      <c r="E429" s="6">
        <v>45000</v>
      </c>
      <c r="F429" s="116">
        <f t="shared" si="47"/>
        <v>0.15524136033549668</v>
      </c>
      <c r="G429" s="30">
        <v>39692</v>
      </c>
      <c r="H429" s="84"/>
      <c r="I429" s="54">
        <f t="shared" si="45"/>
        <v>88.20444444444445</v>
      </c>
      <c r="J429" s="37">
        <f t="shared" si="48"/>
        <v>0.15753153910837103</v>
      </c>
      <c r="K429" s="90"/>
    </row>
    <row r="430" spans="1:11" ht="12.75">
      <c r="A430" s="176"/>
      <c r="B430" s="159"/>
      <c r="C430" s="36">
        <v>4117</v>
      </c>
      <c r="D430" s="4" t="s">
        <v>83</v>
      </c>
      <c r="E430" s="6">
        <v>2380</v>
      </c>
      <c r="F430" s="116">
        <f t="shared" si="47"/>
        <v>0.008210543057744046</v>
      </c>
      <c r="G430" s="30">
        <v>1172.41</v>
      </c>
      <c r="H430" s="84"/>
      <c r="I430" s="54">
        <f t="shared" si="45"/>
        <v>49.260924369747904</v>
      </c>
      <c r="J430" s="37">
        <f t="shared" si="48"/>
        <v>0.004653117801220531</v>
      </c>
      <c r="K430" s="90"/>
    </row>
    <row r="431" spans="1:11" ht="12.75">
      <c r="A431" s="176"/>
      <c r="B431" s="159"/>
      <c r="C431" s="36">
        <v>4119</v>
      </c>
      <c r="D431" s="4" t="s">
        <v>83</v>
      </c>
      <c r="E431" s="6">
        <v>420</v>
      </c>
      <c r="F431" s="116">
        <f t="shared" si="47"/>
        <v>0.0014489193631313023</v>
      </c>
      <c r="G431" s="30">
        <v>206.89</v>
      </c>
      <c r="H431" s="84"/>
      <c r="I431" s="54">
        <f t="shared" si="45"/>
        <v>49.259523809523806</v>
      </c>
      <c r="J431" s="37">
        <f t="shared" si="48"/>
        <v>0.0008211150893411995</v>
      </c>
      <c r="K431" s="90"/>
    </row>
    <row r="432" spans="1:11" ht="12.75">
      <c r="A432" s="176"/>
      <c r="B432" s="159"/>
      <c r="C432" s="36">
        <v>4120</v>
      </c>
      <c r="D432" s="4" t="s">
        <v>104</v>
      </c>
      <c r="E432" s="6">
        <v>5600</v>
      </c>
      <c r="F432" s="116">
        <f t="shared" si="47"/>
        <v>0.019318924841750698</v>
      </c>
      <c r="G432" s="30">
        <v>5687</v>
      </c>
      <c r="H432" s="84"/>
      <c r="I432" s="54">
        <f t="shared" si="45"/>
        <v>101.55357142857142</v>
      </c>
      <c r="J432" s="37">
        <f t="shared" si="48"/>
        <v>0.02257084205656823</v>
      </c>
      <c r="K432" s="90"/>
    </row>
    <row r="433" spans="1:11" ht="12.75">
      <c r="A433" s="176"/>
      <c r="B433" s="159"/>
      <c r="C433" s="36">
        <v>4127</v>
      </c>
      <c r="D433" s="4" t="s">
        <v>104</v>
      </c>
      <c r="E433" s="6">
        <v>340</v>
      </c>
      <c r="F433" s="116">
        <f t="shared" si="47"/>
        <v>0.0011729347225348638</v>
      </c>
      <c r="G433" s="30">
        <v>167.1</v>
      </c>
      <c r="H433" s="84"/>
      <c r="I433" s="54">
        <f t="shared" si="45"/>
        <v>49.14705882352941</v>
      </c>
      <c r="J433" s="37">
        <f t="shared" si="48"/>
        <v>0.0006631946030688502</v>
      </c>
      <c r="K433" s="90"/>
    </row>
    <row r="434" spans="1:11" ht="12.75">
      <c r="A434" s="176"/>
      <c r="B434" s="159"/>
      <c r="C434" s="36">
        <v>4129</v>
      </c>
      <c r="D434" s="4" t="s">
        <v>104</v>
      </c>
      <c r="E434" s="6">
        <v>60</v>
      </c>
      <c r="F434" s="116">
        <f t="shared" si="47"/>
        <v>0.0002069884804473289</v>
      </c>
      <c r="G434" s="30">
        <v>29.5</v>
      </c>
      <c r="H434" s="84"/>
      <c r="I434" s="54">
        <f t="shared" si="45"/>
        <v>49.166666666666664</v>
      </c>
      <c r="J434" s="37">
        <f t="shared" si="48"/>
        <v>0.00011708103405464441</v>
      </c>
      <c r="K434" s="90"/>
    </row>
    <row r="435" spans="1:11" ht="12.75">
      <c r="A435" s="176"/>
      <c r="B435" s="159"/>
      <c r="C435" s="36">
        <v>4177</v>
      </c>
      <c r="D435" s="4" t="s">
        <v>85</v>
      </c>
      <c r="E435" s="6">
        <v>32640</v>
      </c>
      <c r="F435" s="116">
        <f t="shared" si="47"/>
        <v>0.11260173336334693</v>
      </c>
      <c r="G435" s="30">
        <v>16320</v>
      </c>
      <c r="H435" s="84"/>
      <c r="I435" s="54">
        <f t="shared" si="45"/>
        <v>50</v>
      </c>
      <c r="J435" s="37">
        <f t="shared" si="48"/>
        <v>0.06477160934819651</v>
      </c>
      <c r="K435" s="90"/>
    </row>
    <row r="436" spans="1:11" ht="12.75">
      <c r="A436" s="176"/>
      <c r="B436" s="159"/>
      <c r="C436" s="36">
        <v>4179</v>
      </c>
      <c r="D436" s="4" t="s">
        <v>85</v>
      </c>
      <c r="E436" s="6">
        <v>5760</v>
      </c>
      <c r="F436" s="116">
        <f t="shared" si="47"/>
        <v>0.019870894122943576</v>
      </c>
      <c r="G436" s="30">
        <v>2880</v>
      </c>
      <c r="H436" s="84"/>
      <c r="I436" s="54">
        <f t="shared" si="45"/>
        <v>50</v>
      </c>
      <c r="J436" s="37">
        <f t="shared" si="48"/>
        <v>0.011430284002622913</v>
      </c>
      <c r="K436" s="90"/>
    </row>
    <row r="437" spans="1:11" ht="12.75">
      <c r="A437" s="176"/>
      <c r="B437" s="159"/>
      <c r="C437" s="36">
        <v>4217</v>
      </c>
      <c r="D437" s="4" t="s">
        <v>73</v>
      </c>
      <c r="E437" s="6">
        <v>3994.84</v>
      </c>
      <c r="F437" s="116">
        <f t="shared" si="47"/>
        <v>0.013781431020503459</v>
      </c>
      <c r="G437" s="30">
        <v>1717</v>
      </c>
      <c r="H437" s="84"/>
      <c r="I437" s="54">
        <f t="shared" si="45"/>
        <v>42.980444773758144</v>
      </c>
      <c r="J437" s="37">
        <f t="shared" si="48"/>
        <v>0.0068145130668415075</v>
      </c>
      <c r="K437" s="90"/>
    </row>
    <row r="438" spans="1:11" ht="12.75">
      <c r="A438" s="176"/>
      <c r="B438" s="159"/>
      <c r="C438" s="36">
        <v>4219</v>
      </c>
      <c r="D438" s="4" t="s">
        <v>73</v>
      </c>
      <c r="E438" s="6">
        <v>704.97</v>
      </c>
      <c r="F438" s="116">
        <f t="shared" si="47"/>
        <v>0.002432011151015891</v>
      </c>
      <c r="G438" s="30">
        <v>303</v>
      </c>
      <c r="H438" s="84"/>
      <c r="I438" s="54">
        <f t="shared" si="45"/>
        <v>42.98055236393038</v>
      </c>
      <c r="J438" s="37">
        <f t="shared" si="48"/>
        <v>0.0012025611294426187</v>
      </c>
      <c r="K438" s="90"/>
    </row>
    <row r="439" spans="1:11" ht="22.5">
      <c r="A439" s="176"/>
      <c r="B439" s="159"/>
      <c r="C439" s="36">
        <v>4240</v>
      </c>
      <c r="D439" s="4" t="s">
        <v>157</v>
      </c>
      <c r="E439" s="6">
        <v>2000</v>
      </c>
      <c r="F439" s="116">
        <f t="shared" si="47"/>
        <v>0.006899616014910963</v>
      </c>
      <c r="G439" s="30">
        <v>2000</v>
      </c>
      <c r="H439" s="84"/>
      <c r="I439" s="54">
        <f t="shared" si="45"/>
        <v>100</v>
      </c>
      <c r="J439" s="37">
        <f t="shared" si="48"/>
        <v>0.007937697224043689</v>
      </c>
      <c r="K439" s="90"/>
    </row>
    <row r="440" spans="1:11" ht="22.5">
      <c r="A440" s="176"/>
      <c r="B440" s="159"/>
      <c r="C440" s="36">
        <v>4247</v>
      </c>
      <c r="D440" s="4" t="s">
        <v>157</v>
      </c>
      <c r="E440" s="6">
        <v>32019.66</v>
      </c>
      <c r="F440" s="116">
        <f t="shared" si="47"/>
        <v>0.110461679464002</v>
      </c>
      <c r="G440" s="30">
        <v>12750</v>
      </c>
      <c r="H440" s="84"/>
      <c r="I440" s="54">
        <f t="shared" si="45"/>
        <v>39.81928602614769</v>
      </c>
      <c r="J440" s="37">
        <f t="shared" si="48"/>
        <v>0.05060281980327852</v>
      </c>
      <c r="K440" s="90"/>
    </row>
    <row r="441" spans="1:11" ht="22.5">
      <c r="A441" s="176"/>
      <c r="B441" s="159"/>
      <c r="C441" s="36">
        <v>4249</v>
      </c>
      <c r="D441" s="4" t="s">
        <v>157</v>
      </c>
      <c r="E441" s="6">
        <v>5650.53</v>
      </c>
      <c r="F441" s="116">
        <f t="shared" si="47"/>
        <v>0.019493243640367423</v>
      </c>
      <c r="G441" s="30">
        <v>2250</v>
      </c>
      <c r="H441" s="84"/>
      <c r="I441" s="54">
        <f t="shared" si="45"/>
        <v>39.819273590264984</v>
      </c>
      <c r="J441" s="37">
        <f t="shared" si="48"/>
        <v>0.00892990937704915</v>
      </c>
      <c r="K441" s="90"/>
    </row>
    <row r="442" spans="1:11" ht="12.75">
      <c r="A442" s="176"/>
      <c r="B442" s="159"/>
      <c r="C442" s="36">
        <v>4307</v>
      </c>
      <c r="D442" s="4" t="s">
        <v>86</v>
      </c>
      <c r="E442" s="6">
        <v>66189.5</v>
      </c>
      <c r="F442" s="116">
        <f t="shared" si="47"/>
        <v>0.22834106710947463</v>
      </c>
      <c r="G442" s="30">
        <v>42755</v>
      </c>
      <c r="H442" s="84"/>
      <c r="I442" s="54">
        <f t="shared" si="45"/>
        <v>64.59483754976243</v>
      </c>
      <c r="J442" s="37">
        <f t="shared" si="48"/>
        <v>0.16968812240699396</v>
      </c>
      <c r="K442" s="90"/>
    </row>
    <row r="443" spans="1:11" ht="12.75">
      <c r="A443" s="176"/>
      <c r="B443" s="159"/>
      <c r="C443" s="36">
        <v>4309</v>
      </c>
      <c r="D443" s="4" t="s">
        <v>86</v>
      </c>
      <c r="E443" s="6">
        <v>14680.5</v>
      </c>
      <c r="F443" s="116">
        <f t="shared" si="47"/>
        <v>0.050644906453450204</v>
      </c>
      <c r="G443" s="30">
        <v>7545</v>
      </c>
      <c r="H443" s="84"/>
      <c r="I443" s="54">
        <f t="shared" si="45"/>
        <v>51.39470726473894</v>
      </c>
      <c r="J443" s="37">
        <f t="shared" si="48"/>
        <v>0.029944962777704816</v>
      </c>
      <c r="K443" s="90"/>
    </row>
    <row r="444" spans="1:11" ht="12.75">
      <c r="A444" s="176"/>
      <c r="B444" s="159"/>
      <c r="C444" s="36">
        <v>4440</v>
      </c>
      <c r="D444" s="4" t="s">
        <v>158</v>
      </c>
      <c r="E444" s="6">
        <v>19037</v>
      </c>
      <c r="F444" s="116">
        <f t="shared" si="47"/>
        <v>0.06567399503793</v>
      </c>
      <c r="G444" s="30">
        <v>19353</v>
      </c>
      <c r="H444" s="84"/>
      <c r="I444" s="54">
        <f t="shared" si="45"/>
        <v>101.65992540841519</v>
      </c>
      <c r="J444" s="37">
        <f t="shared" si="48"/>
        <v>0.07680912718845875</v>
      </c>
      <c r="K444" s="90"/>
    </row>
    <row r="445" spans="1:11" ht="12.75">
      <c r="A445" s="176"/>
      <c r="B445" s="158">
        <v>80130</v>
      </c>
      <c r="C445" s="50"/>
      <c r="D445" s="3" t="s">
        <v>22</v>
      </c>
      <c r="E445" s="5">
        <f>SUM(E447:E466)</f>
        <v>394447</v>
      </c>
      <c r="F445" s="116">
        <f t="shared" si="47"/>
        <v>1.3607664191167925</v>
      </c>
      <c r="G445" s="5">
        <f>SUM(G447:G466)</f>
        <v>438604</v>
      </c>
      <c r="H445" s="5">
        <f>SUM(H447:H466)</f>
        <v>0</v>
      </c>
      <c r="I445" s="54">
        <f t="shared" si="45"/>
        <v>111.19465986558397</v>
      </c>
      <c r="J445" s="37">
        <f t="shared" si="48"/>
        <v>1.740752876627229</v>
      </c>
      <c r="K445" s="90"/>
    </row>
    <row r="446" spans="1:11" ht="12.75">
      <c r="A446" s="176"/>
      <c r="B446" s="165"/>
      <c r="C446" s="50"/>
      <c r="D446" s="3" t="s">
        <v>237</v>
      </c>
      <c r="E446" s="5"/>
      <c r="F446" s="116">
        <f t="shared" si="47"/>
        <v>0</v>
      </c>
      <c r="G446" s="5"/>
      <c r="H446" s="5" t="e">
        <f>#REF!+#REF!+#REF!+#REF!+#REF!+#REF!</f>
        <v>#REF!</v>
      </c>
      <c r="I446" s="54" t="e">
        <f t="shared" si="45"/>
        <v>#DIV/0!</v>
      </c>
      <c r="J446" s="37">
        <f t="shared" si="48"/>
        <v>0</v>
      </c>
      <c r="K446" s="90"/>
    </row>
    <row r="447" spans="1:11" ht="22.5">
      <c r="A447" s="176"/>
      <c r="B447" s="159"/>
      <c r="C447" s="36">
        <v>3020</v>
      </c>
      <c r="D447" s="4" t="s">
        <v>154</v>
      </c>
      <c r="E447" s="6">
        <v>6951</v>
      </c>
      <c r="F447" s="116">
        <f t="shared" si="47"/>
        <v>0.023979615459823057</v>
      </c>
      <c r="G447" s="30">
        <v>8278</v>
      </c>
      <c r="H447" s="84"/>
      <c r="I447" s="54">
        <f t="shared" si="45"/>
        <v>119.09077830527981</v>
      </c>
      <c r="J447" s="37">
        <f t="shared" si="48"/>
        <v>0.03285412881031683</v>
      </c>
      <c r="K447" s="90"/>
    </row>
    <row r="448" spans="1:11" ht="12.75">
      <c r="A448" s="176"/>
      <c r="B448" s="159"/>
      <c r="C448" s="36">
        <v>4010</v>
      </c>
      <c r="D448" s="4" t="s">
        <v>93</v>
      </c>
      <c r="E448" s="6">
        <v>162450</v>
      </c>
      <c r="F448" s="116">
        <f t="shared" si="47"/>
        <v>0.5604213108111431</v>
      </c>
      <c r="G448" s="30">
        <v>162054</v>
      </c>
      <c r="H448" s="84"/>
      <c r="I448" s="54">
        <f t="shared" si="45"/>
        <v>99.75623268698061</v>
      </c>
      <c r="J448" s="37">
        <f t="shared" si="48"/>
        <v>0.643167792972588</v>
      </c>
      <c r="K448" s="90"/>
    </row>
    <row r="449" spans="1:11" ht="12.75">
      <c r="A449" s="176"/>
      <c r="B449" s="159"/>
      <c r="C449" s="36">
        <v>4040</v>
      </c>
      <c r="D449" s="4" t="s">
        <v>155</v>
      </c>
      <c r="E449" s="6">
        <v>13120</v>
      </c>
      <c r="F449" s="116">
        <f t="shared" si="47"/>
        <v>0.045261481057815925</v>
      </c>
      <c r="G449" s="30">
        <v>15372</v>
      </c>
      <c r="H449" s="84"/>
      <c r="I449" s="54">
        <f t="shared" si="45"/>
        <v>117.16463414634146</v>
      </c>
      <c r="J449" s="37">
        <f t="shared" si="48"/>
        <v>0.06100914086399979</v>
      </c>
      <c r="K449" s="90"/>
    </row>
    <row r="450" spans="1:11" ht="12.75">
      <c r="A450" s="176"/>
      <c r="B450" s="159"/>
      <c r="C450" s="36">
        <v>4110</v>
      </c>
      <c r="D450" s="4" t="s">
        <v>83</v>
      </c>
      <c r="E450" s="6">
        <v>29372</v>
      </c>
      <c r="F450" s="116">
        <f t="shared" si="47"/>
        <v>0.1013277607949824</v>
      </c>
      <c r="G450" s="30">
        <v>32615</v>
      </c>
      <c r="H450" s="84"/>
      <c r="I450" s="54">
        <f t="shared" si="45"/>
        <v>111.04112760452132</v>
      </c>
      <c r="J450" s="37">
        <f t="shared" si="48"/>
        <v>0.12944399748109245</v>
      </c>
      <c r="K450" s="90"/>
    </row>
    <row r="451" spans="1:11" ht="12.75">
      <c r="A451" s="176"/>
      <c r="B451" s="159"/>
      <c r="C451" s="36">
        <v>4120</v>
      </c>
      <c r="D451" s="4" t="s">
        <v>104</v>
      </c>
      <c r="E451" s="6">
        <v>2708</v>
      </c>
      <c r="F451" s="116">
        <f t="shared" si="47"/>
        <v>0.009342080084189444</v>
      </c>
      <c r="G451" s="30">
        <v>4678</v>
      </c>
      <c r="H451" s="84"/>
      <c r="I451" s="54">
        <f t="shared" si="45"/>
        <v>172.7474150664697</v>
      </c>
      <c r="J451" s="37">
        <f t="shared" si="48"/>
        <v>0.01856627380703819</v>
      </c>
      <c r="K451" s="90"/>
    </row>
    <row r="452" spans="1:11" ht="12.75">
      <c r="A452" s="176"/>
      <c r="B452" s="159"/>
      <c r="C452" s="36">
        <v>4170</v>
      </c>
      <c r="D452" s="4" t="s">
        <v>85</v>
      </c>
      <c r="E452" s="6">
        <v>500</v>
      </c>
      <c r="F452" s="116">
        <f t="shared" si="47"/>
        <v>0.0017249040037277407</v>
      </c>
      <c r="G452" s="30">
        <v>1000</v>
      </c>
      <c r="H452" s="84"/>
      <c r="I452" s="54">
        <f t="shared" si="45"/>
        <v>200</v>
      </c>
      <c r="J452" s="37">
        <f t="shared" si="48"/>
        <v>0.003968848612021844</v>
      </c>
      <c r="K452" s="90"/>
    </row>
    <row r="453" spans="1:11" ht="12.75">
      <c r="A453" s="176"/>
      <c r="B453" s="159"/>
      <c r="C453" s="36">
        <v>4210</v>
      </c>
      <c r="D453" s="4" t="s">
        <v>73</v>
      </c>
      <c r="E453" s="6">
        <v>75000</v>
      </c>
      <c r="F453" s="116">
        <f t="shared" si="47"/>
        <v>0.2587356005591611</v>
      </c>
      <c r="G453" s="30">
        <v>104200</v>
      </c>
      <c r="H453" s="84"/>
      <c r="I453" s="54">
        <f t="shared" si="45"/>
        <v>138.93333333333334</v>
      </c>
      <c r="J453" s="37">
        <f t="shared" si="48"/>
        <v>0.41355402537267616</v>
      </c>
      <c r="K453" s="90"/>
    </row>
    <row r="454" spans="1:11" ht="22.5">
      <c r="A454" s="176"/>
      <c r="B454" s="159"/>
      <c r="C454" s="36">
        <v>4240</v>
      </c>
      <c r="D454" s="4" t="s">
        <v>157</v>
      </c>
      <c r="E454" s="6">
        <v>2000</v>
      </c>
      <c r="F454" s="116">
        <f t="shared" si="47"/>
        <v>0.006899616014910963</v>
      </c>
      <c r="G454" s="30">
        <v>3000</v>
      </c>
      <c r="H454" s="84"/>
      <c r="I454" s="54">
        <f t="shared" si="45"/>
        <v>150</v>
      </c>
      <c r="J454" s="37">
        <f t="shared" si="48"/>
        <v>0.011906545836065534</v>
      </c>
      <c r="K454" s="90"/>
    </row>
    <row r="455" spans="1:11" ht="12.75">
      <c r="A455" s="176"/>
      <c r="B455" s="159"/>
      <c r="C455" s="36">
        <v>4260</v>
      </c>
      <c r="D455" s="4" t="s">
        <v>74</v>
      </c>
      <c r="E455" s="6">
        <v>14000</v>
      </c>
      <c r="F455" s="116">
        <f t="shared" si="47"/>
        <v>0.048297312104376745</v>
      </c>
      <c r="G455" s="30">
        <v>14500</v>
      </c>
      <c r="H455" s="84"/>
      <c r="I455" s="54">
        <f t="shared" si="45"/>
        <v>103.57142857142858</v>
      </c>
      <c r="J455" s="37">
        <f t="shared" si="48"/>
        <v>0.05754830487431675</v>
      </c>
      <c r="K455" s="90"/>
    </row>
    <row r="456" spans="1:11" ht="12.75">
      <c r="A456" s="176"/>
      <c r="B456" s="159"/>
      <c r="C456" s="36">
        <v>4270</v>
      </c>
      <c r="D456" s="4" t="s">
        <v>76</v>
      </c>
      <c r="E456" s="6">
        <v>3000</v>
      </c>
      <c r="F456" s="116">
        <f t="shared" si="47"/>
        <v>0.010349424022366445</v>
      </c>
      <c r="G456" s="30">
        <v>7115</v>
      </c>
      <c r="H456" s="84"/>
      <c r="I456" s="54">
        <f t="shared" si="45"/>
        <v>237.16666666666666</v>
      </c>
      <c r="J456" s="37">
        <f t="shared" si="48"/>
        <v>0.028238357874535425</v>
      </c>
      <c r="K456" s="90"/>
    </row>
    <row r="457" spans="1:11" ht="12.75">
      <c r="A457" s="176"/>
      <c r="B457" s="159"/>
      <c r="C457" s="36">
        <v>4280</v>
      </c>
      <c r="D457" s="4" t="s">
        <v>89</v>
      </c>
      <c r="E457" s="6">
        <v>500</v>
      </c>
      <c r="F457" s="116">
        <f t="shared" si="47"/>
        <v>0.0017249040037277407</v>
      </c>
      <c r="G457" s="30">
        <v>1000</v>
      </c>
      <c r="H457" s="84"/>
      <c r="I457" s="54">
        <f t="shared" si="45"/>
        <v>200</v>
      </c>
      <c r="J457" s="37">
        <f t="shared" si="48"/>
        <v>0.003968848612021844</v>
      </c>
      <c r="K457" s="90"/>
    </row>
    <row r="458" spans="1:11" ht="12.75">
      <c r="A458" s="176"/>
      <c r="B458" s="159"/>
      <c r="C458" s="36">
        <v>4300</v>
      </c>
      <c r="D458" s="4" t="s">
        <v>86</v>
      </c>
      <c r="E458" s="6">
        <v>68810</v>
      </c>
      <c r="F458" s="116">
        <f t="shared" si="47"/>
        <v>0.2373812889930117</v>
      </c>
      <c r="G458" s="30">
        <v>65690</v>
      </c>
      <c r="H458" s="84"/>
      <c r="I458" s="54">
        <f t="shared" si="45"/>
        <v>95.46577532335417</v>
      </c>
      <c r="J458" s="37">
        <f t="shared" si="48"/>
        <v>0.260713665323715</v>
      </c>
      <c r="K458" s="90"/>
    </row>
    <row r="459" spans="1:11" ht="12.75">
      <c r="A459" s="176"/>
      <c r="B459" s="159"/>
      <c r="C459" s="36">
        <v>4350</v>
      </c>
      <c r="D459" s="4" t="s">
        <v>130</v>
      </c>
      <c r="E459" s="6">
        <v>720</v>
      </c>
      <c r="F459" s="116">
        <f t="shared" si="47"/>
        <v>0.002483861765367947</v>
      </c>
      <c r="G459" s="30">
        <v>720</v>
      </c>
      <c r="H459" s="84"/>
      <c r="I459" s="54">
        <f t="shared" si="45"/>
        <v>100</v>
      </c>
      <c r="J459" s="37">
        <f t="shared" si="48"/>
        <v>0.0028575710006557282</v>
      </c>
      <c r="K459" s="90"/>
    </row>
    <row r="460" spans="1:11" ht="25.5" customHeight="1">
      <c r="A460" s="176"/>
      <c r="B460" s="159"/>
      <c r="C460" s="36">
        <v>4370</v>
      </c>
      <c r="D460" s="4" t="s">
        <v>147</v>
      </c>
      <c r="E460" s="6">
        <v>1300</v>
      </c>
      <c r="F460" s="116">
        <f t="shared" si="47"/>
        <v>0.004484750409692127</v>
      </c>
      <c r="G460" s="30">
        <v>1300</v>
      </c>
      <c r="H460" s="84"/>
      <c r="I460" s="54">
        <f t="shared" si="45"/>
        <v>100</v>
      </c>
      <c r="J460" s="37">
        <f t="shared" si="48"/>
        <v>0.005159503195628397</v>
      </c>
      <c r="K460" s="90"/>
    </row>
    <row r="461" spans="1:11" ht="25.5" customHeight="1" hidden="1">
      <c r="A461" s="176"/>
      <c r="B461" s="159"/>
      <c r="C461" s="36">
        <v>4400</v>
      </c>
      <c r="D461" s="4" t="s">
        <v>317</v>
      </c>
      <c r="E461" s="6"/>
      <c r="F461" s="116">
        <f t="shared" si="47"/>
        <v>0</v>
      </c>
      <c r="G461" s="30"/>
      <c r="H461" s="84"/>
      <c r="I461" s="54" t="e">
        <f t="shared" si="45"/>
        <v>#DIV/0!</v>
      </c>
      <c r="J461" s="37"/>
      <c r="K461" s="90"/>
    </row>
    <row r="462" spans="1:11" ht="12.75">
      <c r="A462" s="176"/>
      <c r="B462" s="159"/>
      <c r="C462" s="36">
        <v>4410</v>
      </c>
      <c r="D462" s="4" t="s">
        <v>160</v>
      </c>
      <c r="E462" s="6">
        <v>1000</v>
      </c>
      <c r="F462" s="116">
        <f t="shared" si="47"/>
        <v>0.0034498080074554815</v>
      </c>
      <c r="G462" s="30">
        <v>1000</v>
      </c>
      <c r="H462" s="84"/>
      <c r="I462" s="54">
        <f t="shared" si="45"/>
        <v>100</v>
      </c>
      <c r="J462" s="37">
        <f aca="true" t="shared" si="49" ref="J462:J478">(G462/$G$807)*100</f>
        <v>0.003968848612021844</v>
      </c>
      <c r="K462" s="90"/>
    </row>
    <row r="463" spans="1:11" ht="12.75">
      <c r="A463" s="176"/>
      <c r="B463" s="159"/>
      <c r="C463" s="36">
        <v>4430</v>
      </c>
      <c r="D463" s="4" t="s">
        <v>87</v>
      </c>
      <c r="E463" s="6">
        <v>2800</v>
      </c>
      <c r="F463" s="116">
        <f t="shared" si="47"/>
        <v>0.009659462420875349</v>
      </c>
      <c r="G463" s="30">
        <v>2800</v>
      </c>
      <c r="H463" s="84"/>
      <c r="I463" s="54">
        <f t="shared" si="45"/>
        <v>100</v>
      </c>
      <c r="J463" s="37">
        <f t="shared" si="49"/>
        <v>0.011112776113661165</v>
      </c>
      <c r="K463" s="90"/>
    </row>
    <row r="464" spans="1:11" ht="12.75">
      <c r="A464" s="176"/>
      <c r="B464" s="159"/>
      <c r="C464" s="36">
        <v>4440</v>
      </c>
      <c r="D464" s="4" t="s">
        <v>158</v>
      </c>
      <c r="E464" s="6">
        <v>8712</v>
      </c>
      <c r="F464" s="116">
        <f t="shared" si="47"/>
        <v>0.030054727360952157</v>
      </c>
      <c r="G464" s="30">
        <v>9882</v>
      </c>
      <c r="H464" s="84"/>
      <c r="I464" s="54">
        <f t="shared" si="45"/>
        <v>113.4297520661157</v>
      </c>
      <c r="J464" s="37">
        <f t="shared" si="49"/>
        <v>0.039220161983999864</v>
      </c>
      <c r="K464" s="90"/>
    </row>
    <row r="465" spans="1:11" ht="22.5">
      <c r="A465" s="176"/>
      <c r="B465" s="159"/>
      <c r="C465" s="36">
        <v>4520</v>
      </c>
      <c r="D465" s="4" t="s">
        <v>101</v>
      </c>
      <c r="E465" s="6">
        <v>1404</v>
      </c>
      <c r="F465" s="116">
        <f t="shared" si="47"/>
        <v>0.004843530442467497</v>
      </c>
      <c r="G465" s="30">
        <v>2400</v>
      </c>
      <c r="H465" s="84"/>
      <c r="I465" s="54">
        <f t="shared" si="45"/>
        <v>170.94017094017093</v>
      </c>
      <c r="J465" s="37">
        <f t="shared" si="49"/>
        <v>0.009525236668852428</v>
      </c>
      <c r="K465" s="90"/>
    </row>
    <row r="466" spans="1:11" ht="12.75">
      <c r="A466" s="176"/>
      <c r="B466" s="159"/>
      <c r="C466" s="36">
        <v>4700</v>
      </c>
      <c r="D466" s="4" t="s">
        <v>223</v>
      </c>
      <c r="E466" s="6">
        <v>100</v>
      </c>
      <c r="F466" s="116">
        <f t="shared" si="47"/>
        <v>0.00034498080074554815</v>
      </c>
      <c r="G466" s="30">
        <v>1000</v>
      </c>
      <c r="H466" s="84"/>
      <c r="I466" s="54">
        <f t="shared" si="45"/>
        <v>1000</v>
      </c>
      <c r="J466" s="37">
        <f t="shared" si="49"/>
        <v>0.003968848612021844</v>
      </c>
      <c r="K466" s="90"/>
    </row>
    <row r="467" spans="1:11" ht="12.75" customHeight="1">
      <c r="A467" s="176"/>
      <c r="B467" s="158">
        <v>80146</v>
      </c>
      <c r="C467" s="50"/>
      <c r="D467" s="3" t="s">
        <v>164</v>
      </c>
      <c r="E467" s="5">
        <f>E468+E469+E470</f>
        <v>22834</v>
      </c>
      <c r="F467" s="116">
        <f t="shared" si="47"/>
        <v>0.07877291604223847</v>
      </c>
      <c r="G467" s="5">
        <f>G468+G469+G470</f>
        <v>24308</v>
      </c>
      <c r="H467" s="5">
        <f>H468+H469+H470</f>
        <v>0</v>
      </c>
      <c r="I467" s="54">
        <f>(G467/E467)*100</f>
        <v>106.45528597705176</v>
      </c>
      <c r="J467" s="37">
        <f t="shared" si="49"/>
        <v>0.096474772061027</v>
      </c>
      <c r="K467" s="90"/>
    </row>
    <row r="468" spans="1:11" ht="12.75">
      <c r="A468" s="176"/>
      <c r="B468" s="188"/>
      <c r="C468" s="36">
        <v>4210</v>
      </c>
      <c r="D468" s="4" t="s">
        <v>73</v>
      </c>
      <c r="E468" s="6">
        <v>5000</v>
      </c>
      <c r="F468" s="116">
        <f t="shared" si="47"/>
        <v>0.01724904003727741</v>
      </c>
      <c r="G468" s="30">
        <v>6500</v>
      </c>
      <c r="H468" s="84"/>
      <c r="I468" s="54">
        <f>(G468/E468)*100</f>
        <v>130</v>
      </c>
      <c r="J468" s="37">
        <f t="shared" si="49"/>
        <v>0.025797515978141988</v>
      </c>
      <c r="K468" s="90"/>
    </row>
    <row r="469" spans="1:11" ht="12.75">
      <c r="A469" s="176"/>
      <c r="B469" s="188"/>
      <c r="C469" s="36">
        <v>4300</v>
      </c>
      <c r="D469" s="4" t="s">
        <v>165</v>
      </c>
      <c r="E469" s="6">
        <v>16000</v>
      </c>
      <c r="F469" s="116">
        <f t="shared" si="47"/>
        <v>0.055196928119287704</v>
      </c>
      <c r="G469" s="30">
        <v>17200</v>
      </c>
      <c r="H469" s="84"/>
      <c r="I469" s="54">
        <f>(G469/E469)*100</f>
        <v>107.5</v>
      </c>
      <c r="J469" s="37">
        <f t="shared" si="49"/>
        <v>0.06826419612677573</v>
      </c>
      <c r="K469" s="90"/>
    </row>
    <row r="470" spans="1:11" ht="12.75">
      <c r="A470" s="176"/>
      <c r="B470" s="189"/>
      <c r="C470" s="36">
        <v>4410</v>
      </c>
      <c r="D470" s="4" t="s">
        <v>122</v>
      </c>
      <c r="E470" s="6">
        <v>1834</v>
      </c>
      <c r="F470" s="116">
        <f t="shared" si="47"/>
        <v>0.006326947885673354</v>
      </c>
      <c r="G470" s="30">
        <v>608</v>
      </c>
      <c r="H470" s="84"/>
      <c r="I470" s="54">
        <f>(G470/E470)*100</f>
        <v>33.151581243184296</v>
      </c>
      <c r="J470" s="37">
        <f t="shared" si="49"/>
        <v>0.0024130599561092815</v>
      </c>
      <c r="K470" s="90"/>
    </row>
    <row r="471" spans="1:11" s="15" customFormat="1" ht="12.75">
      <c r="A471" s="176"/>
      <c r="B471" s="158">
        <v>80148</v>
      </c>
      <c r="C471" s="50"/>
      <c r="D471" s="3" t="s">
        <v>242</v>
      </c>
      <c r="E471" s="5">
        <f>E472+E473+E474+E475+E476+E478+E477</f>
        <v>46391.229999999996</v>
      </c>
      <c r="F471" s="5">
        <f>F472+F473+F474+F475+F476+F478+F477</f>
        <v>0.160040836729709</v>
      </c>
      <c r="G471" s="5">
        <f>G472+G473+G474+G475+G476+G478+G477</f>
        <v>0</v>
      </c>
      <c r="H471" s="5" t="e">
        <f>H472+H473+H474+H475+#REF!+H476+H478</f>
        <v>#REF!</v>
      </c>
      <c r="I471" s="54">
        <f aca="true" t="shared" si="50" ref="I471:I526">(G471/E471)*100</f>
        <v>0</v>
      </c>
      <c r="J471" s="37">
        <f t="shared" si="49"/>
        <v>0</v>
      </c>
      <c r="K471" s="144"/>
    </row>
    <row r="472" spans="1:11" ht="12.75">
      <c r="A472" s="176"/>
      <c r="B472" s="159"/>
      <c r="C472" s="36">
        <v>3020</v>
      </c>
      <c r="D472" s="4" t="s">
        <v>170</v>
      </c>
      <c r="E472" s="6">
        <v>170.38</v>
      </c>
      <c r="F472" s="116">
        <f aca="true" t="shared" si="51" ref="F472:F503">(E472/$E$807)*100</f>
        <v>0.0005877782883102649</v>
      </c>
      <c r="G472" s="30"/>
      <c r="H472" s="84"/>
      <c r="I472" s="54">
        <f t="shared" si="50"/>
        <v>0</v>
      </c>
      <c r="J472" s="37">
        <f t="shared" si="49"/>
        <v>0</v>
      </c>
      <c r="K472" s="90"/>
    </row>
    <row r="473" spans="1:11" ht="12.75">
      <c r="A473" s="176"/>
      <c r="B473" s="159"/>
      <c r="C473" s="36">
        <v>4010</v>
      </c>
      <c r="D473" s="4" t="s">
        <v>93</v>
      </c>
      <c r="E473" s="6">
        <v>31723.79</v>
      </c>
      <c r="F473" s="116">
        <f t="shared" si="51"/>
        <v>0.10944098476883615</v>
      </c>
      <c r="G473" s="30"/>
      <c r="H473" s="84"/>
      <c r="I473" s="54">
        <f t="shared" si="50"/>
        <v>0</v>
      </c>
      <c r="J473" s="37">
        <f t="shared" si="49"/>
        <v>0</v>
      </c>
      <c r="K473" s="90"/>
    </row>
    <row r="474" spans="1:11" ht="12.75">
      <c r="A474" s="176"/>
      <c r="B474" s="159"/>
      <c r="C474" s="36">
        <v>4040</v>
      </c>
      <c r="D474" s="4" t="s">
        <v>95</v>
      </c>
      <c r="E474" s="6">
        <v>4000.44</v>
      </c>
      <c r="F474" s="116">
        <f t="shared" si="51"/>
        <v>0.01380074994534521</v>
      </c>
      <c r="G474" s="30"/>
      <c r="H474" s="84"/>
      <c r="I474" s="54">
        <f t="shared" si="50"/>
        <v>0</v>
      </c>
      <c r="J474" s="37">
        <f t="shared" si="49"/>
        <v>0</v>
      </c>
      <c r="K474" s="90"/>
    </row>
    <row r="475" spans="1:11" ht="12.75">
      <c r="A475" s="176"/>
      <c r="B475" s="159"/>
      <c r="C475" s="36">
        <v>4110</v>
      </c>
      <c r="D475" s="4" t="s">
        <v>114</v>
      </c>
      <c r="E475" s="6">
        <v>6686.31</v>
      </c>
      <c r="F475" s="116">
        <f t="shared" si="51"/>
        <v>0.023066485778329666</v>
      </c>
      <c r="G475" s="30"/>
      <c r="H475" s="84"/>
      <c r="I475" s="54">
        <f t="shared" si="50"/>
        <v>0</v>
      </c>
      <c r="J475" s="37">
        <f t="shared" si="49"/>
        <v>0</v>
      </c>
      <c r="K475" s="90"/>
    </row>
    <row r="476" spans="1:11" ht="12.75">
      <c r="A476" s="176"/>
      <c r="B476" s="159"/>
      <c r="C476" s="36">
        <v>4210</v>
      </c>
      <c r="D476" s="4" t="s">
        <v>73</v>
      </c>
      <c r="E476" s="6">
        <v>829.5</v>
      </c>
      <c r="F476" s="116">
        <f t="shared" si="51"/>
        <v>0.0028616157421843223</v>
      </c>
      <c r="G476" s="30"/>
      <c r="H476" s="84"/>
      <c r="I476" s="54">
        <f t="shared" si="50"/>
        <v>0</v>
      </c>
      <c r="J476" s="37">
        <f t="shared" si="49"/>
        <v>0</v>
      </c>
      <c r="K476" s="90"/>
    </row>
    <row r="477" spans="1:11" ht="12.75">
      <c r="A477" s="176"/>
      <c r="B477" s="159"/>
      <c r="C477" s="36">
        <v>4260</v>
      </c>
      <c r="D477" s="4" t="s">
        <v>74</v>
      </c>
      <c r="E477" s="6">
        <v>1711.85</v>
      </c>
      <c r="F477" s="116">
        <f t="shared" si="51"/>
        <v>0.005905553837562666</v>
      </c>
      <c r="G477" s="30"/>
      <c r="H477" s="84"/>
      <c r="I477" s="54">
        <f t="shared" si="50"/>
        <v>0</v>
      </c>
      <c r="J477" s="37">
        <f t="shared" si="49"/>
        <v>0</v>
      </c>
      <c r="K477" s="90"/>
    </row>
    <row r="478" spans="1:11" ht="13.5" customHeight="1">
      <c r="A478" s="176"/>
      <c r="B478" s="160"/>
      <c r="C478" s="36">
        <v>4440</v>
      </c>
      <c r="D478" s="4" t="s">
        <v>116</v>
      </c>
      <c r="E478" s="6">
        <v>1268.96</v>
      </c>
      <c r="F478" s="116">
        <f t="shared" si="51"/>
        <v>0.004377668369140709</v>
      </c>
      <c r="G478" s="30"/>
      <c r="H478" s="84"/>
      <c r="I478" s="54">
        <f t="shared" si="50"/>
        <v>0</v>
      </c>
      <c r="J478" s="37">
        <f t="shared" si="49"/>
        <v>0</v>
      </c>
      <c r="K478" s="90"/>
    </row>
    <row r="479" spans="1:11" ht="13.5" customHeight="1">
      <c r="A479" s="176"/>
      <c r="B479" s="108"/>
      <c r="C479" s="36"/>
      <c r="D479" s="25" t="s">
        <v>349</v>
      </c>
      <c r="E479" s="6"/>
      <c r="F479" s="116">
        <f t="shared" si="51"/>
        <v>0</v>
      </c>
      <c r="G479" s="30"/>
      <c r="H479" s="84"/>
      <c r="I479" s="54"/>
      <c r="J479" s="37"/>
      <c r="K479" s="90"/>
    </row>
    <row r="480" spans="1:11" ht="13.5" customHeight="1">
      <c r="A480" s="176"/>
      <c r="B480" s="108"/>
      <c r="C480" s="36"/>
      <c r="D480" s="25" t="s">
        <v>347</v>
      </c>
      <c r="E480" s="6"/>
      <c r="F480" s="116">
        <f t="shared" si="51"/>
        <v>0</v>
      </c>
      <c r="G480" s="30"/>
      <c r="H480" s="84"/>
      <c r="I480" s="54"/>
      <c r="J480" s="37"/>
      <c r="K480" s="90"/>
    </row>
    <row r="481" spans="1:11" ht="13.5" customHeight="1">
      <c r="A481" s="176"/>
      <c r="B481" s="108"/>
      <c r="C481" s="36"/>
      <c r="D481" s="25" t="s">
        <v>348</v>
      </c>
      <c r="E481" s="6"/>
      <c r="F481" s="116">
        <f t="shared" si="51"/>
        <v>0</v>
      </c>
      <c r="G481" s="30"/>
      <c r="H481" s="84"/>
      <c r="I481" s="54"/>
      <c r="J481" s="37"/>
      <c r="K481" s="90"/>
    </row>
    <row r="482" spans="1:11" ht="12.75">
      <c r="A482" s="176"/>
      <c r="B482" s="157">
        <v>80195</v>
      </c>
      <c r="C482" s="50"/>
      <c r="D482" s="3" t="s">
        <v>9</v>
      </c>
      <c r="E482" s="5">
        <f>+E484+E485+E483</f>
        <v>68315.93</v>
      </c>
      <c r="F482" s="116">
        <f t="shared" si="51"/>
        <v>0.23567684235076816</v>
      </c>
      <c r="G482" s="5">
        <f>+G484+G485+G483</f>
        <v>69373.11</v>
      </c>
      <c r="H482" s="5">
        <f>+H484+H485+H483</f>
        <v>0</v>
      </c>
      <c r="I482" s="54">
        <f t="shared" si="50"/>
        <v>101.54748680139465</v>
      </c>
      <c r="J482" s="37">
        <f aca="true" t="shared" si="52" ref="J482:J504">(G482/$G$807)*100</f>
        <v>0.27533137133513874</v>
      </c>
      <c r="K482" s="90"/>
    </row>
    <row r="483" spans="1:11" s="16" customFormat="1" ht="12.75">
      <c r="A483" s="176"/>
      <c r="B483" s="157"/>
      <c r="C483" s="36">
        <v>4170</v>
      </c>
      <c r="D483" s="4" t="s">
        <v>85</v>
      </c>
      <c r="E483" s="6">
        <v>210</v>
      </c>
      <c r="F483" s="116">
        <f t="shared" si="51"/>
        <v>0.0007244596815656511</v>
      </c>
      <c r="G483" s="30">
        <v>300</v>
      </c>
      <c r="H483" s="84"/>
      <c r="I483" s="54">
        <f t="shared" si="50"/>
        <v>142.85714285714286</v>
      </c>
      <c r="J483" s="37">
        <f t="shared" si="52"/>
        <v>0.0011906545836065535</v>
      </c>
      <c r="K483" s="90"/>
    </row>
    <row r="484" spans="1:11" ht="12.75">
      <c r="A484" s="176"/>
      <c r="B484" s="161"/>
      <c r="C484" s="36">
        <v>4300</v>
      </c>
      <c r="D484" s="4" t="s">
        <v>86</v>
      </c>
      <c r="E484" s="6">
        <v>470</v>
      </c>
      <c r="F484" s="116">
        <f t="shared" si="51"/>
        <v>0.0016214097635040767</v>
      </c>
      <c r="G484" s="30">
        <v>500</v>
      </c>
      <c r="H484" s="84"/>
      <c r="I484" s="54"/>
      <c r="J484" s="37">
        <f t="shared" si="52"/>
        <v>0.001984424306010922</v>
      </c>
      <c r="K484" s="90"/>
    </row>
    <row r="485" spans="1:11" ht="12.75">
      <c r="A485" s="176"/>
      <c r="B485" s="161"/>
      <c r="C485" s="36">
        <v>4440</v>
      </c>
      <c r="D485" s="4" t="s">
        <v>158</v>
      </c>
      <c r="E485" s="6">
        <v>67635.93</v>
      </c>
      <c r="F485" s="116">
        <f t="shared" si="51"/>
        <v>0.23333097290569846</v>
      </c>
      <c r="G485" s="30">
        <v>68573.11</v>
      </c>
      <c r="H485" s="84"/>
      <c r="I485" s="54">
        <f t="shared" si="50"/>
        <v>101.38562447503865</v>
      </c>
      <c r="J485" s="37">
        <f t="shared" si="52"/>
        <v>0.27215629244552125</v>
      </c>
      <c r="K485" s="90"/>
    </row>
    <row r="486" spans="1:11" ht="12.75">
      <c r="A486" s="174" t="s">
        <v>212</v>
      </c>
      <c r="B486" s="36"/>
      <c r="C486" s="36"/>
      <c r="D486" s="3" t="s">
        <v>23</v>
      </c>
      <c r="E486" s="5">
        <f>E490+E493+E506</f>
        <v>92216</v>
      </c>
      <c r="F486" s="116">
        <f t="shared" si="51"/>
        <v>0.3181274952155147</v>
      </c>
      <c r="G486" s="5">
        <f>G490+G493+G506</f>
        <v>90211</v>
      </c>
      <c r="H486" s="5" t="e">
        <f>H490+H493+H506</f>
        <v>#REF!</v>
      </c>
      <c r="I486" s="54">
        <f t="shared" si="50"/>
        <v>97.82575691853908</v>
      </c>
      <c r="J486" s="37">
        <f t="shared" si="52"/>
        <v>0.35803380213910263</v>
      </c>
      <c r="K486" s="90"/>
    </row>
    <row r="487" spans="1:11" ht="12.75">
      <c r="A487" s="175"/>
      <c r="B487" s="36"/>
      <c r="C487" s="36"/>
      <c r="D487" s="8" t="s">
        <v>225</v>
      </c>
      <c r="E487" s="6">
        <f>E486</f>
        <v>92216</v>
      </c>
      <c r="F487" s="116">
        <f t="shared" si="51"/>
        <v>0.3181274952155147</v>
      </c>
      <c r="G487" s="6">
        <f>G486</f>
        <v>90211</v>
      </c>
      <c r="H487" s="6" t="e">
        <f>H486</f>
        <v>#REF!</v>
      </c>
      <c r="I487" s="54">
        <f t="shared" si="50"/>
        <v>97.82575691853908</v>
      </c>
      <c r="J487" s="37">
        <f t="shared" si="52"/>
        <v>0.35803380213910263</v>
      </c>
      <c r="K487" s="90"/>
    </row>
    <row r="488" spans="1:11" ht="12.75">
      <c r="A488" s="175"/>
      <c r="B488" s="36"/>
      <c r="C488" s="36"/>
      <c r="D488" s="8" t="s">
        <v>226</v>
      </c>
      <c r="E488" s="6">
        <v>0</v>
      </c>
      <c r="F488" s="116">
        <f t="shared" si="51"/>
        <v>0</v>
      </c>
      <c r="G488" s="6">
        <v>0</v>
      </c>
      <c r="H488" s="61">
        <v>0</v>
      </c>
      <c r="I488" s="54"/>
      <c r="J488" s="37">
        <f t="shared" si="52"/>
        <v>0</v>
      </c>
      <c r="K488" s="90"/>
    </row>
    <row r="489" spans="1:11" ht="12.75">
      <c r="A489" s="175"/>
      <c r="B489" s="36"/>
      <c r="C489" s="36"/>
      <c r="D489" s="8" t="s">
        <v>246</v>
      </c>
      <c r="E489" s="6"/>
      <c r="F489" s="116">
        <f t="shared" si="51"/>
        <v>0</v>
      </c>
      <c r="G489" s="6"/>
      <c r="H489" s="6">
        <f>H494</f>
        <v>0</v>
      </c>
      <c r="I489" s="54"/>
      <c r="J489" s="37">
        <f t="shared" si="52"/>
        <v>0</v>
      </c>
      <c r="K489" s="90"/>
    </row>
    <row r="490" spans="1:11" ht="12.75">
      <c r="A490" s="165"/>
      <c r="B490" s="154">
        <v>85153</v>
      </c>
      <c r="C490" s="4"/>
      <c r="D490" s="3" t="s">
        <v>166</v>
      </c>
      <c r="E490" s="5">
        <f>E491+E492</f>
        <v>5000</v>
      </c>
      <c r="F490" s="116">
        <f t="shared" si="51"/>
        <v>0.01724904003727741</v>
      </c>
      <c r="G490" s="5">
        <f>G491+G492</f>
        <v>5000</v>
      </c>
      <c r="H490" s="5">
        <f>H491+H492</f>
        <v>0</v>
      </c>
      <c r="I490" s="54">
        <f t="shared" si="50"/>
        <v>100</v>
      </c>
      <c r="J490" s="37">
        <f t="shared" si="52"/>
        <v>0.019844243060109224</v>
      </c>
      <c r="K490" s="90"/>
    </row>
    <row r="491" spans="1:11" ht="12.75">
      <c r="A491" s="165"/>
      <c r="B491" s="155"/>
      <c r="C491" s="4">
        <v>4210</v>
      </c>
      <c r="D491" s="4" t="str">
        <f>D501</f>
        <v>Zakup materiałów</v>
      </c>
      <c r="E491" s="6">
        <v>500</v>
      </c>
      <c r="F491" s="116">
        <f t="shared" si="51"/>
        <v>0.0017249040037277407</v>
      </c>
      <c r="G491" s="30">
        <v>500</v>
      </c>
      <c r="H491" s="84"/>
      <c r="I491" s="54">
        <f t="shared" si="50"/>
        <v>100</v>
      </c>
      <c r="J491" s="37">
        <f t="shared" si="52"/>
        <v>0.001984424306010922</v>
      </c>
      <c r="K491" s="90"/>
    </row>
    <row r="492" spans="1:11" ht="12.75">
      <c r="A492" s="165"/>
      <c r="B492" s="155"/>
      <c r="C492" s="4">
        <v>4300</v>
      </c>
      <c r="D492" s="4" t="str">
        <f>D503</f>
        <v>Usługi pozostałe</v>
      </c>
      <c r="E492" s="6">
        <v>4500</v>
      </c>
      <c r="F492" s="116">
        <f t="shared" si="51"/>
        <v>0.015524136033549669</v>
      </c>
      <c r="G492" s="30">
        <v>4500</v>
      </c>
      <c r="H492" s="84"/>
      <c r="I492" s="54">
        <f t="shared" si="50"/>
        <v>100</v>
      </c>
      <c r="J492" s="37">
        <f t="shared" si="52"/>
        <v>0.0178598187540983</v>
      </c>
      <c r="K492" s="90"/>
    </row>
    <row r="493" spans="1:11" ht="12.75" customHeight="1">
      <c r="A493" s="165"/>
      <c r="B493" s="150" t="s">
        <v>167</v>
      </c>
      <c r="C493" s="3"/>
      <c r="D493" s="3" t="s">
        <v>24</v>
      </c>
      <c r="E493" s="5">
        <f>E494+E496+E498+E499+E500+E501+E502+E503+E504+E497+E495+E505</f>
        <v>87000</v>
      </c>
      <c r="F493" s="116">
        <f t="shared" si="51"/>
        <v>0.3001332966486269</v>
      </c>
      <c r="G493" s="5">
        <f>G494+G496+G498+G499+G500+G501+G502+G503+G504+G497+G495+G505</f>
        <v>85000</v>
      </c>
      <c r="H493" s="5" t="e">
        <f>H494+H496+H498+H499+H500+H501+H502+#REF!+H503+H504+#REF!+H497+H495+H505</f>
        <v>#REF!</v>
      </c>
      <c r="I493" s="54">
        <f t="shared" si="50"/>
        <v>97.70114942528735</v>
      </c>
      <c r="J493" s="37">
        <f t="shared" si="52"/>
        <v>0.33735213202185677</v>
      </c>
      <c r="K493" s="90"/>
    </row>
    <row r="494" spans="1:11" ht="24" customHeight="1">
      <c r="A494" s="165"/>
      <c r="B494" s="152"/>
      <c r="C494" s="4" t="s">
        <v>168</v>
      </c>
      <c r="D494" s="4" t="s">
        <v>169</v>
      </c>
      <c r="E494" s="6">
        <v>20000</v>
      </c>
      <c r="F494" s="116">
        <f t="shared" si="51"/>
        <v>0.06899616014910964</v>
      </c>
      <c r="G494" s="30">
        <v>20000</v>
      </c>
      <c r="H494" s="84"/>
      <c r="I494" s="54">
        <f t="shared" si="50"/>
        <v>100</v>
      </c>
      <c r="J494" s="37">
        <f t="shared" si="52"/>
        <v>0.0793769722404369</v>
      </c>
      <c r="K494" s="90"/>
    </row>
    <row r="495" spans="1:11" ht="12.75">
      <c r="A495" s="165"/>
      <c r="B495" s="152"/>
      <c r="C495" s="4">
        <v>3030</v>
      </c>
      <c r="D495" s="4" t="s">
        <v>120</v>
      </c>
      <c r="E495" s="6">
        <v>500</v>
      </c>
      <c r="F495" s="116">
        <f t="shared" si="51"/>
        <v>0.0017249040037277407</v>
      </c>
      <c r="G495" s="30">
        <v>500</v>
      </c>
      <c r="H495" s="84"/>
      <c r="I495" s="54">
        <f t="shared" si="50"/>
        <v>100</v>
      </c>
      <c r="J495" s="37">
        <f t="shared" si="52"/>
        <v>0.001984424306010922</v>
      </c>
      <c r="K495" s="139"/>
    </row>
    <row r="496" spans="1:11" ht="12.75">
      <c r="A496" s="165"/>
      <c r="B496" s="152"/>
      <c r="C496" s="4" t="s">
        <v>92</v>
      </c>
      <c r="D496" s="4" t="s">
        <v>93</v>
      </c>
      <c r="E496" s="6">
        <v>12507</v>
      </c>
      <c r="F496" s="116">
        <f t="shared" si="51"/>
        <v>0.04314674874924571</v>
      </c>
      <c r="G496" s="30">
        <v>12003</v>
      </c>
      <c r="H496" s="84"/>
      <c r="I496" s="54">
        <f t="shared" si="50"/>
        <v>95.9702566562725</v>
      </c>
      <c r="J496" s="37">
        <f t="shared" si="52"/>
        <v>0.0476380898900982</v>
      </c>
      <c r="K496" s="90"/>
    </row>
    <row r="497" spans="1:11" ht="12.75">
      <c r="A497" s="165"/>
      <c r="B497" s="152"/>
      <c r="C497" s="4">
        <v>4040</v>
      </c>
      <c r="D497" s="4" t="s">
        <v>95</v>
      </c>
      <c r="E497" s="6">
        <v>923</v>
      </c>
      <c r="F497" s="116">
        <f t="shared" si="51"/>
        <v>0.0031841727908814097</v>
      </c>
      <c r="G497" s="30">
        <v>1055</v>
      </c>
      <c r="H497" s="84"/>
      <c r="I497" s="54">
        <f t="shared" si="50"/>
        <v>114.3011917659805</v>
      </c>
      <c r="J497" s="37">
        <f t="shared" si="52"/>
        <v>0.004187135285683046</v>
      </c>
      <c r="K497" s="90"/>
    </row>
    <row r="498" spans="1:11" ht="12.75">
      <c r="A498" s="165"/>
      <c r="B498" s="152"/>
      <c r="C498" s="4" t="s">
        <v>96</v>
      </c>
      <c r="D498" s="4" t="s">
        <v>83</v>
      </c>
      <c r="E498" s="6">
        <v>2313</v>
      </c>
      <c r="F498" s="116">
        <f t="shared" si="51"/>
        <v>0.007979405921244529</v>
      </c>
      <c r="G498" s="30">
        <v>2594</v>
      </c>
      <c r="H498" s="84"/>
      <c r="I498" s="54">
        <f t="shared" si="50"/>
        <v>112.14872460008647</v>
      </c>
      <c r="J498" s="37">
        <f t="shared" si="52"/>
        <v>0.010295193299584665</v>
      </c>
      <c r="K498" s="90"/>
    </row>
    <row r="499" spans="1:11" ht="12.75">
      <c r="A499" s="165"/>
      <c r="B499" s="152"/>
      <c r="C499" s="4" t="s">
        <v>97</v>
      </c>
      <c r="D499" s="4" t="s">
        <v>104</v>
      </c>
      <c r="E499" s="6">
        <v>329</v>
      </c>
      <c r="F499" s="116">
        <f t="shared" si="51"/>
        <v>0.0011349868344528535</v>
      </c>
      <c r="G499" s="30">
        <v>369</v>
      </c>
      <c r="H499" s="84"/>
      <c r="I499" s="54">
        <f t="shared" si="50"/>
        <v>112.15805471124621</v>
      </c>
      <c r="J499" s="37">
        <f t="shared" si="52"/>
        <v>0.0014645051378360606</v>
      </c>
      <c r="K499" s="90"/>
    </row>
    <row r="500" spans="1:11" ht="12.75">
      <c r="A500" s="165"/>
      <c r="B500" s="152"/>
      <c r="C500" s="4" t="s">
        <v>98</v>
      </c>
      <c r="D500" s="4" t="s">
        <v>85</v>
      </c>
      <c r="E500" s="6">
        <v>24765</v>
      </c>
      <c r="F500" s="116">
        <f t="shared" si="51"/>
        <v>0.08543449530463501</v>
      </c>
      <c r="G500" s="30">
        <v>25380</v>
      </c>
      <c r="H500" s="84"/>
      <c r="I500" s="54">
        <f t="shared" si="50"/>
        <v>102.48334342822531</v>
      </c>
      <c r="J500" s="37">
        <f t="shared" si="52"/>
        <v>0.1007293777731144</v>
      </c>
      <c r="K500" s="90"/>
    </row>
    <row r="501" spans="1:11" ht="12.75">
      <c r="A501" s="165"/>
      <c r="B501" s="152"/>
      <c r="C501" s="4" t="s">
        <v>99</v>
      </c>
      <c r="D501" s="4" t="s">
        <v>171</v>
      </c>
      <c r="E501" s="6">
        <v>2186</v>
      </c>
      <c r="F501" s="116">
        <f t="shared" si="51"/>
        <v>0.0075412803042976834</v>
      </c>
      <c r="G501" s="30">
        <v>2236</v>
      </c>
      <c r="H501" s="84"/>
      <c r="I501" s="54">
        <f t="shared" si="50"/>
        <v>102.28728270814274</v>
      </c>
      <c r="J501" s="37">
        <f t="shared" si="52"/>
        <v>0.008874345496480845</v>
      </c>
      <c r="K501" s="90"/>
    </row>
    <row r="502" spans="1:11" ht="12.75">
      <c r="A502" s="165"/>
      <c r="B502" s="152"/>
      <c r="C502" s="4" t="s">
        <v>172</v>
      </c>
      <c r="D502" s="4" t="s">
        <v>173</v>
      </c>
      <c r="E502" s="6">
        <v>9587</v>
      </c>
      <c r="F502" s="116">
        <f t="shared" si="51"/>
        <v>0.033073309367475705</v>
      </c>
      <c r="G502" s="30">
        <v>5000</v>
      </c>
      <c r="H502" s="84"/>
      <c r="I502" s="54">
        <f t="shared" si="50"/>
        <v>52.153958485449046</v>
      </c>
      <c r="J502" s="37">
        <f t="shared" si="52"/>
        <v>0.019844243060109224</v>
      </c>
      <c r="K502" s="90"/>
    </row>
    <row r="503" spans="1:11" ht="12.75">
      <c r="A503" s="165"/>
      <c r="B503" s="152"/>
      <c r="C503" s="4" t="s">
        <v>77</v>
      </c>
      <c r="D503" s="4" t="s">
        <v>174</v>
      </c>
      <c r="E503" s="6">
        <v>13440</v>
      </c>
      <c r="F503" s="116">
        <f t="shared" si="51"/>
        <v>0.04636541962020167</v>
      </c>
      <c r="G503" s="30">
        <v>15402</v>
      </c>
      <c r="H503" s="84"/>
      <c r="I503" s="54">
        <f t="shared" si="50"/>
        <v>114.59821428571428</v>
      </c>
      <c r="J503" s="37">
        <f t="shared" si="52"/>
        <v>0.06112820632236045</v>
      </c>
      <c r="K503" s="90"/>
    </row>
    <row r="504" spans="1:11" ht="23.25" customHeight="1">
      <c r="A504" s="165"/>
      <c r="B504" s="152"/>
      <c r="C504" s="4">
        <v>4370</v>
      </c>
      <c r="D504" s="4" t="s">
        <v>147</v>
      </c>
      <c r="E504" s="6">
        <v>200</v>
      </c>
      <c r="F504" s="116">
        <f aca="true" t="shared" si="53" ref="F504:F535">(E504/$E$807)*100</f>
        <v>0.0006899616014910963</v>
      </c>
      <c r="G504" s="30">
        <v>205</v>
      </c>
      <c r="H504" s="84"/>
      <c r="I504" s="54">
        <f t="shared" si="50"/>
        <v>102.49999999999999</v>
      </c>
      <c r="J504" s="37">
        <f t="shared" si="52"/>
        <v>0.0008136139654644781</v>
      </c>
      <c r="K504" s="90"/>
    </row>
    <row r="505" spans="1:11" ht="13.5" customHeight="1">
      <c r="A505" s="165"/>
      <c r="B505" s="149"/>
      <c r="C505" s="4">
        <v>4700</v>
      </c>
      <c r="D505" s="4" t="s">
        <v>336</v>
      </c>
      <c r="E505" s="6">
        <v>250</v>
      </c>
      <c r="F505" s="116">
        <f t="shared" si="53"/>
        <v>0.0008624520018638704</v>
      </c>
      <c r="G505" s="30">
        <v>256</v>
      </c>
      <c r="H505" s="84"/>
      <c r="I505" s="54"/>
      <c r="J505" s="37"/>
      <c r="K505" s="90"/>
    </row>
    <row r="506" spans="1:11" ht="12.75">
      <c r="A506" s="165"/>
      <c r="B506" s="150">
        <v>85195</v>
      </c>
      <c r="C506" s="3"/>
      <c r="D506" s="3" t="s">
        <v>9</v>
      </c>
      <c r="E506" s="5">
        <f>E507</f>
        <v>216</v>
      </c>
      <c r="F506" s="116">
        <f t="shared" si="53"/>
        <v>0.0007451585296103841</v>
      </c>
      <c r="G506" s="5">
        <f>G507</f>
        <v>211</v>
      </c>
      <c r="H506" s="5" t="e">
        <f>#REF!+#REF!+#REF!+#REF!+H507</f>
        <v>#REF!</v>
      </c>
      <c r="I506" s="54">
        <f t="shared" si="50"/>
        <v>97.68518518518519</v>
      </c>
      <c r="J506" s="37">
        <f aca="true" t="shared" si="54" ref="J506:J513">(G506/$G$807)*100</f>
        <v>0.0008374270571366092</v>
      </c>
      <c r="K506" s="90"/>
    </row>
    <row r="507" spans="1:11" ht="12.75">
      <c r="A507" s="163"/>
      <c r="B507" s="149"/>
      <c r="C507" s="4">
        <v>4300</v>
      </c>
      <c r="D507" s="4" t="s">
        <v>86</v>
      </c>
      <c r="E507" s="6">
        <v>216</v>
      </c>
      <c r="F507" s="116">
        <f t="shared" si="53"/>
        <v>0.0007451585296103841</v>
      </c>
      <c r="G507" s="30">
        <v>211</v>
      </c>
      <c r="H507" s="84"/>
      <c r="I507" s="54">
        <f t="shared" si="50"/>
        <v>97.68518518518519</v>
      </c>
      <c r="J507" s="37">
        <f t="shared" si="54"/>
        <v>0.0008374270571366092</v>
      </c>
      <c r="K507" s="90"/>
    </row>
    <row r="508" spans="1:11" ht="12.75">
      <c r="A508" s="158">
        <v>852</v>
      </c>
      <c r="B508" s="3"/>
      <c r="C508" s="4"/>
      <c r="D508" s="3" t="s">
        <v>25</v>
      </c>
      <c r="E508" s="5">
        <f>E516+E518+E541+E562+E566+E569+E574+E598+E612+E625+E572+E535+E537+E514</f>
        <v>5222905</v>
      </c>
      <c r="F508" s="116">
        <f t="shared" si="53"/>
        <v>18.018019491179274</v>
      </c>
      <c r="G508" s="5">
        <f>G516+G518+G541+G562+G566+G569+G574+G598+G612+G625+G572+G535+G537+G514</f>
        <v>5306736</v>
      </c>
      <c r="H508" s="5" t="e">
        <f>H516+H518+H541+H562+H566+H569+H574+H598+H612+H625+H572+H535+H537+H514</f>
        <v>#REF!</v>
      </c>
      <c r="I508" s="54">
        <f t="shared" si="50"/>
        <v>101.60506461442435</v>
      </c>
      <c r="J508" s="37">
        <f t="shared" si="54"/>
        <v>21.061631807966354</v>
      </c>
      <c r="K508" s="90"/>
    </row>
    <row r="509" spans="1:11" ht="12.75">
      <c r="A509" s="165"/>
      <c r="B509" s="3"/>
      <c r="C509" s="4"/>
      <c r="D509" s="8" t="s">
        <v>225</v>
      </c>
      <c r="E509" s="6">
        <f>E508-E510</f>
        <v>5222905</v>
      </c>
      <c r="F509" s="116">
        <f t="shared" si="53"/>
        <v>18.018019491179274</v>
      </c>
      <c r="G509" s="6">
        <f>G508-G510</f>
        <v>5306736</v>
      </c>
      <c r="H509" s="6" t="e">
        <f>H508-H510</f>
        <v>#REF!</v>
      </c>
      <c r="I509" s="54">
        <f t="shared" si="50"/>
        <v>101.60506461442435</v>
      </c>
      <c r="J509" s="37">
        <f t="shared" si="54"/>
        <v>21.061631807966354</v>
      </c>
      <c r="K509" s="90"/>
    </row>
    <row r="510" spans="1:11" ht="12.75">
      <c r="A510" s="165"/>
      <c r="B510" s="3"/>
      <c r="C510" s="4"/>
      <c r="D510" s="46" t="s">
        <v>226</v>
      </c>
      <c r="E510" s="26"/>
      <c r="F510" s="116">
        <f t="shared" si="53"/>
        <v>0</v>
      </c>
      <c r="G510" s="26"/>
      <c r="H510" s="26"/>
      <c r="I510" s="54"/>
      <c r="J510" s="37">
        <f t="shared" si="54"/>
        <v>0</v>
      </c>
      <c r="K510" s="90"/>
    </row>
    <row r="511" spans="1:11" ht="12.75">
      <c r="A511" s="165"/>
      <c r="B511" s="3"/>
      <c r="C511" s="4"/>
      <c r="D511" s="46" t="s">
        <v>282</v>
      </c>
      <c r="E511" s="27">
        <f>SUM(E509:E510)</f>
        <v>5222905</v>
      </c>
      <c r="F511" s="116">
        <f t="shared" si="53"/>
        <v>18.018019491179274</v>
      </c>
      <c r="G511" s="27">
        <f>SUM(G509:G510)</f>
        <v>5306736</v>
      </c>
      <c r="H511" s="27" t="e">
        <f>SUM(H509:H510)</f>
        <v>#REF!</v>
      </c>
      <c r="I511" s="54">
        <f t="shared" si="50"/>
        <v>101.60506461442435</v>
      </c>
      <c r="J511" s="37">
        <f t="shared" si="54"/>
        <v>21.061631807966354</v>
      </c>
      <c r="K511" s="90"/>
    </row>
    <row r="512" spans="1:11" ht="12.75">
      <c r="A512" s="165"/>
      <c r="B512" s="3"/>
      <c r="C512" s="4"/>
      <c r="D512" s="8" t="s">
        <v>247</v>
      </c>
      <c r="E512" s="6">
        <f>E567+E627</f>
        <v>119740</v>
      </c>
      <c r="F512" s="116">
        <f t="shared" si="53"/>
        <v>0.41308001081271944</v>
      </c>
      <c r="G512" s="6">
        <f>G567+G627</f>
        <v>122040</v>
      </c>
      <c r="H512" s="6">
        <f>H567+H627</f>
        <v>0</v>
      </c>
      <c r="I512" s="54">
        <f t="shared" si="50"/>
        <v>101.92082846166694</v>
      </c>
      <c r="J512" s="37">
        <f t="shared" si="54"/>
        <v>0.48435828461114594</v>
      </c>
      <c r="K512" s="90"/>
    </row>
    <row r="513" spans="1:11" ht="11.25" customHeight="1">
      <c r="A513" s="165"/>
      <c r="B513" s="3"/>
      <c r="C513" s="4"/>
      <c r="D513" s="8"/>
      <c r="E513" s="6"/>
      <c r="F513" s="116">
        <f t="shared" si="53"/>
        <v>0</v>
      </c>
      <c r="G513" s="6"/>
      <c r="H513" s="61"/>
      <c r="I513" s="54"/>
      <c r="J513" s="37">
        <f t="shared" si="54"/>
        <v>0</v>
      </c>
      <c r="K513" s="90"/>
    </row>
    <row r="514" spans="1:11" ht="17.25" customHeight="1">
      <c r="A514" s="165"/>
      <c r="B514" s="3">
        <v>85201</v>
      </c>
      <c r="C514" s="4"/>
      <c r="D514" s="3" t="s">
        <v>314</v>
      </c>
      <c r="E514" s="5">
        <f>E515</f>
        <v>63619</v>
      </c>
      <c r="F514" s="116">
        <f t="shared" si="53"/>
        <v>0.21947333562631033</v>
      </c>
      <c r="G514" s="5">
        <f>G515</f>
        <v>90401</v>
      </c>
      <c r="H514" s="5">
        <f>H515</f>
        <v>0</v>
      </c>
      <c r="I514" s="54">
        <f t="shared" si="50"/>
        <v>142.09748659991513</v>
      </c>
      <c r="J514" s="70"/>
      <c r="K514" s="90"/>
    </row>
    <row r="515" spans="1:11" ht="19.5" customHeight="1">
      <c r="A515" s="165"/>
      <c r="B515" s="3"/>
      <c r="C515" s="4">
        <v>2900</v>
      </c>
      <c r="D515" s="4" t="s">
        <v>315</v>
      </c>
      <c r="E515" s="6">
        <v>63619</v>
      </c>
      <c r="F515" s="116">
        <f t="shared" si="53"/>
        <v>0.21947333562631033</v>
      </c>
      <c r="G515" s="6">
        <v>90401</v>
      </c>
      <c r="H515" s="61"/>
      <c r="I515" s="54">
        <f t="shared" si="50"/>
        <v>142.09748659991513</v>
      </c>
      <c r="J515" s="37"/>
      <c r="K515" s="90"/>
    </row>
    <row r="516" spans="1:11" ht="12.75">
      <c r="A516" s="165"/>
      <c r="B516" s="154">
        <v>85202</v>
      </c>
      <c r="C516" s="4"/>
      <c r="D516" s="3" t="s">
        <v>178</v>
      </c>
      <c r="E516" s="5">
        <f>E517</f>
        <v>413776</v>
      </c>
      <c r="F516" s="116">
        <f t="shared" si="53"/>
        <v>1.4274477580928995</v>
      </c>
      <c r="G516" s="5">
        <f>G517</f>
        <v>440457</v>
      </c>
      <c r="H516" s="5">
        <f>H517</f>
        <v>0</v>
      </c>
      <c r="I516" s="54">
        <f t="shared" si="50"/>
        <v>106.44817485789413</v>
      </c>
      <c r="J516" s="37">
        <f>(G516/$G$807)*100</f>
        <v>1.7481071531053056</v>
      </c>
      <c r="K516" s="90"/>
    </row>
    <row r="517" spans="1:11" ht="12.75">
      <c r="A517" s="165"/>
      <c r="B517" s="154"/>
      <c r="C517" s="4">
        <v>4330</v>
      </c>
      <c r="D517" s="4" t="s">
        <v>289</v>
      </c>
      <c r="E517" s="6">
        <v>413776</v>
      </c>
      <c r="F517" s="116">
        <f t="shared" si="53"/>
        <v>1.4274477580928995</v>
      </c>
      <c r="G517" s="30">
        <v>440457</v>
      </c>
      <c r="H517" s="84"/>
      <c r="I517" s="54">
        <f t="shared" si="50"/>
        <v>106.44817485789413</v>
      </c>
      <c r="J517" s="37">
        <f>(G517/$G$807)*100</f>
        <v>1.7481071531053056</v>
      </c>
      <c r="K517" s="90"/>
    </row>
    <row r="518" spans="1:11" ht="12.75">
      <c r="A518" s="165"/>
      <c r="B518" s="154">
        <v>85203</v>
      </c>
      <c r="C518" s="4"/>
      <c r="D518" s="3" t="s">
        <v>179</v>
      </c>
      <c r="E518" s="5">
        <f>E519+E521+E522+E523+E524+E525+E526+E527+E529+E530+E532+E533+E531+E528+E534+E520</f>
        <v>45135</v>
      </c>
      <c r="F518" s="116">
        <f t="shared" si="53"/>
        <v>0.15570708441650316</v>
      </c>
      <c r="G518" s="5">
        <f>G519+G521+G522+G523+G524+G525+G526+G527+G529+G530+G532+G533+G531+G528+G534+G520</f>
        <v>38500</v>
      </c>
      <c r="H518" s="5" t="e">
        <f>H519+H521+H522+H523+H524+H525+H526+H527+H529+H530+H532+H533+#REF!+H531+H528+H534</f>
        <v>#REF!</v>
      </c>
      <c r="I518" s="54">
        <f t="shared" si="50"/>
        <v>85.29965658579816</v>
      </c>
      <c r="J518" s="37">
        <f>(G518/$G$807)*100</f>
        <v>0.15280067156284102</v>
      </c>
      <c r="K518" s="90"/>
    </row>
    <row r="519" spans="1:11" ht="22.5">
      <c r="A519" s="165"/>
      <c r="B519" s="155"/>
      <c r="C519" s="4">
        <v>3020</v>
      </c>
      <c r="D519" s="4" t="s">
        <v>180</v>
      </c>
      <c r="E519" s="6">
        <v>62</v>
      </c>
      <c r="F519" s="116">
        <f t="shared" si="53"/>
        <v>0.00021388809646223988</v>
      </c>
      <c r="G519" s="30"/>
      <c r="H519" s="84"/>
      <c r="I519" s="54">
        <f t="shared" si="50"/>
        <v>0</v>
      </c>
      <c r="J519" s="37">
        <f>(G519/$G$807)*100</f>
        <v>0</v>
      </c>
      <c r="K519" s="90"/>
    </row>
    <row r="520" spans="1:11" ht="12.75">
      <c r="A520" s="165"/>
      <c r="B520" s="155"/>
      <c r="C520" s="4">
        <v>3030</v>
      </c>
      <c r="D520" s="4" t="s">
        <v>419</v>
      </c>
      <c r="E520" s="6"/>
      <c r="F520" s="116">
        <f t="shared" si="53"/>
        <v>0</v>
      </c>
      <c r="G520" s="30">
        <v>30</v>
      </c>
      <c r="H520" s="84"/>
      <c r="I520" s="54"/>
      <c r="J520" s="37"/>
      <c r="K520" s="90"/>
    </row>
    <row r="521" spans="1:11" ht="12.75">
      <c r="A521" s="165"/>
      <c r="B521" s="155"/>
      <c r="C521" s="4">
        <v>4010</v>
      </c>
      <c r="D521" s="4" t="s">
        <v>93</v>
      </c>
      <c r="E521" s="6">
        <v>18930</v>
      </c>
      <c r="F521" s="116">
        <f t="shared" si="53"/>
        <v>0.06530486558113227</v>
      </c>
      <c r="G521" s="30"/>
      <c r="H521" s="84"/>
      <c r="I521" s="54">
        <f t="shared" si="50"/>
        <v>0</v>
      </c>
      <c r="J521" s="37">
        <f aca="true" t="shared" si="55" ref="J521:J534">(G521/$G$807)*100</f>
        <v>0</v>
      </c>
      <c r="K521" s="90"/>
    </row>
    <row r="522" spans="1:11" ht="12.75">
      <c r="A522" s="165"/>
      <c r="B522" s="155"/>
      <c r="C522" s="4">
        <v>4040</v>
      </c>
      <c r="D522" s="4" t="s">
        <v>95</v>
      </c>
      <c r="E522" s="6">
        <v>1433</v>
      </c>
      <c r="F522" s="116">
        <f t="shared" si="53"/>
        <v>0.004943574874683706</v>
      </c>
      <c r="G522" s="30">
        <v>953</v>
      </c>
      <c r="H522" s="84"/>
      <c r="I522" s="54">
        <f t="shared" si="50"/>
        <v>66.50383810188416</v>
      </c>
      <c r="J522" s="37">
        <f t="shared" si="55"/>
        <v>0.0037823127272568176</v>
      </c>
      <c r="K522" s="90"/>
    </row>
    <row r="523" spans="1:11" ht="12.75">
      <c r="A523" s="165"/>
      <c r="B523" s="155"/>
      <c r="C523" s="4">
        <v>4110</v>
      </c>
      <c r="D523" s="4" t="s">
        <v>83</v>
      </c>
      <c r="E523" s="6">
        <v>4606</v>
      </c>
      <c r="F523" s="116">
        <f t="shared" si="53"/>
        <v>0.01588981568233995</v>
      </c>
      <c r="G523" s="30">
        <v>3698</v>
      </c>
      <c r="H523" s="84"/>
      <c r="I523" s="54">
        <f t="shared" si="50"/>
        <v>80.28658271819366</v>
      </c>
      <c r="J523" s="37">
        <f t="shared" si="55"/>
        <v>0.014676802167256782</v>
      </c>
      <c r="K523" s="90"/>
    </row>
    <row r="524" spans="1:11" ht="12.75">
      <c r="A524" s="165"/>
      <c r="B524" s="155"/>
      <c r="C524" s="4">
        <v>4120</v>
      </c>
      <c r="D524" s="4" t="s">
        <v>104</v>
      </c>
      <c r="E524" s="6">
        <v>655</v>
      </c>
      <c r="F524" s="116">
        <f t="shared" si="53"/>
        <v>0.0022596242448833406</v>
      </c>
      <c r="G524" s="30"/>
      <c r="H524" s="84"/>
      <c r="I524" s="54">
        <f t="shared" si="50"/>
        <v>0</v>
      </c>
      <c r="J524" s="37">
        <f t="shared" si="55"/>
        <v>0</v>
      </c>
      <c r="K524" s="90"/>
    </row>
    <row r="525" spans="1:11" ht="12.75">
      <c r="A525" s="165"/>
      <c r="B525" s="155"/>
      <c r="C525" s="4">
        <v>4170</v>
      </c>
      <c r="D525" s="4" t="s">
        <v>85</v>
      </c>
      <c r="E525" s="6">
        <v>6445</v>
      </c>
      <c r="F525" s="116">
        <f t="shared" si="53"/>
        <v>0.02223401260805058</v>
      </c>
      <c r="G525" s="30">
        <v>21471</v>
      </c>
      <c r="H525" s="84"/>
      <c r="I525" s="54">
        <f t="shared" si="50"/>
        <v>333.1419705197828</v>
      </c>
      <c r="J525" s="37">
        <f t="shared" si="55"/>
        <v>0.08521514854872102</v>
      </c>
      <c r="K525" s="90"/>
    </row>
    <row r="526" spans="1:11" ht="12.75">
      <c r="A526" s="165"/>
      <c r="B526" s="155"/>
      <c r="C526" s="4">
        <v>4210</v>
      </c>
      <c r="D526" s="4" t="s">
        <v>171</v>
      </c>
      <c r="E526" s="6">
        <v>1343</v>
      </c>
      <c r="F526" s="116">
        <f t="shared" si="53"/>
        <v>0.004633092154012712</v>
      </c>
      <c r="G526" s="30">
        <v>2000</v>
      </c>
      <c r="H526" s="84"/>
      <c r="I526" s="54">
        <f t="shared" si="50"/>
        <v>148.92032762472078</v>
      </c>
      <c r="J526" s="37">
        <f t="shared" si="55"/>
        <v>0.007937697224043689</v>
      </c>
      <c r="K526" s="90"/>
    </row>
    <row r="527" spans="1:11" ht="12.75">
      <c r="A527" s="165"/>
      <c r="B527" s="155"/>
      <c r="C527" s="4">
        <v>4260</v>
      </c>
      <c r="D527" s="4" t="s">
        <v>181</v>
      </c>
      <c r="E527" s="6">
        <v>6234</v>
      </c>
      <c r="F527" s="116">
        <f t="shared" si="53"/>
        <v>0.021506103118477473</v>
      </c>
      <c r="G527" s="30">
        <v>6377</v>
      </c>
      <c r="H527" s="84"/>
      <c r="I527" s="54">
        <f aca="true" t="shared" si="56" ref="I527:I560">(G527/E527)*100</f>
        <v>102.2938723131216</v>
      </c>
      <c r="J527" s="37">
        <f t="shared" si="55"/>
        <v>0.025309347598863302</v>
      </c>
      <c r="K527" s="90"/>
    </row>
    <row r="528" spans="1:11" ht="12.75">
      <c r="A528" s="165"/>
      <c r="B528" s="155"/>
      <c r="C528" s="4">
        <v>4280</v>
      </c>
      <c r="D528" s="4" t="s">
        <v>218</v>
      </c>
      <c r="E528" s="6">
        <v>30</v>
      </c>
      <c r="F528" s="116">
        <f t="shared" si="53"/>
        <v>0.00010349424022366446</v>
      </c>
      <c r="G528" s="30"/>
      <c r="H528" s="84"/>
      <c r="I528" s="54">
        <f t="shared" si="56"/>
        <v>0</v>
      </c>
      <c r="J528" s="37">
        <f t="shared" si="55"/>
        <v>0</v>
      </c>
      <c r="K528" s="90"/>
    </row>
    <row r="529" spans="1:11" ht="12.75">
      <c r="A529" s="165"/>
      <c r="B529" s="155"/>
      <c r="C529" s="4">
        <v>4300</v>
      </c>
      <c r="D529" s="4" t="s">
        <v>174</v>
      </c>
      <c r="E529" s="6">
        <v>1350</v>
      </c>
      <c r="F529" s="116">
        <f t="shared" si="53"/>
        <v>0.0046572408100649006</v>
      </c>
      <c r="G529" s="30">
        <v>700</v>
      </c>
      <c r="H529" s="84"/>
      <c r="I529" s="54">
        <f t="shared" si="56"/>
        <v>51.85185185185185</v>
      </c>
      <c r="J529" s="37">
        <f t="shared" si="55"/>
        <v>0.0027781940284152913</v>
      </c>
      <c r="K529" s="90"/>
    </row>
    <row r="530" spans="1:11" ht="22.5">
      <c r="A530" s="165"/>
      <c r="B530" s="155"/>
      <c r="C530" s="4">
        <v>4370</v>
      </c>
      <c r="D530" s="4" t="s">
        <v>132</v>
      </c>
      <c r="E530" s="6">
        <v>563</v>
      </c>
      <c r="F530" s="116">
        <f t="shared" si="53"/>
        <v>0.0019422419081974362</v>
      </c>
      <c r="G530" s="30">
        <v>563</v>
      </c>
      <c r="H530" s="84"/>
      <c r="I530" s="54">
        <f t="shared" si="56"/>
        <v>100</v>
      </c>
      <c r="J530" s="37">
        <f t="shared" si="55"/>
        <v>0.0022344617685682985</v>
      </c>
      <c r="K530" s="90"/>
    </row>
    <row r="531" spans="1:11" ht="12.75">
      <c r="A531" s="165"/>
      <c r="B531" s="155"/>
      <c r="C531" s="4">
        <v>4400</v>
      </c>
      <c r="D531" s="4" t="s">
        <v>175</v>
      </c>
      <c r="E531" s="6">
        <v>2491</v>
      </c>
      <c r="F531" s="116">
        <f t="shared" si="53"/>
        <v>0.008593471746571605</v>
      </c>
      <c r="G531" s="30">
        <v>2548</v>
      </c>
      <c r="H531" s="84"/>
      <c r="I531" s="54">
        <f t="shared" si="56"/>
        <v>102.28823765556001</v>
      </c>
      <c r="J531" s="37">
        <f t="shared" si="55"/>
        <v>0.01011262626343166</v>
      </c>
      <c r="K531" s="90"/>
    </row>
    <row r="532" spans="1:11" ht="12.75">
      <c r="A532" s="165"/>
      <c r="B532" s="155"/>
      <c r="C532" s="4">
        <v>4410</v>
      </c>
      <c r="D532" s="4" t="s">
        <v>122</v>
      </c>
      <c r="E532" s="6">
        <v>17</v>
      </c>
      <c r="F532" s="116">
        <f t="shared" si="53"/>
        <v>5.864673612674319E-05</v>
      </c>
      <c r="G532" s="30"/>
      <c r="H532" s="84"/>
      <c r="I532" s="54">
        <f t="shared" si="56"/>
        <v>0</v>
      </c>
      <c r="J532" s="37">
        <f t="shared" si="55"/>
        <v>0</v>
      </c>
      <c r="K532" s="90"/>
    </row>
    <row r="533" spans="1:11" ht="18.75" customHeight="1">
      <c r="A533" s="165"/>
      <c r="B533" s="155"/>
      <c r="C533" s="4">
        <v>4440</v>
      </c>
      <c r="D533" s="4" t="s">
        <v>176</v>
      </c>
      <c r="E533" s="6">
        <v>820</v>
      </c>
      <c r="F533" s="116">
        <f t="shared" si="53"/>
        <v>0.0028288425661134953</v>
      </c>
      <c r="G533" s="30"/>
      <c r="H533" s="84"/>
      <c r="I533" s="54">
        <f t="shared" si="56"/>
        <v>0</v>
      </c>
      <c r="J533" s="37">
        <f t="shared" si="55"/>
        <v>0</v>
      </c>
      <c r="K533" s="90"/>
    </row>
    <row r="534" spans="1:11" ht="12.75">
      <c r="A534" s="165"/>
      <c r="B534" s="155"/>
      <c r="C534" s="4">
        <v>4520</v>
      </c>
      <c r="D534" s="4" t="s">
        <v>294</v>
      </c>
      <c r="E534" s="6">
        <v>156</v>
      </c>
      <c r="F534" s="116">
        <f t="shared" si="53"/>
        <v>0.0005381700491630552</v>
      </c>
      <c r="G534" s="30">
        <v>160</v>
      </c>
      <c r="H534" s="84"/>
      <c r="I534" s="54">
        <f t="shared" si="56"/>
        <v>102.56410256410255</v>
      </c>
      <c r="J534" s="37">
        <f t="shared" si="55"/>
        <v>0.0006350157779234951</v>
      </c>
      <c r="K534" s="90"/>
    </row>
    <row r="535" spans="1:11" s="13" customFormat="1" ht="12.75">
      <c r="A535" s="165"/>
      <c r="B535" s="150">
        <v>85204</v>
      </c>
      <c r="C535" s="3"/>
      <c r="D535" s="3" t="s">
        <v>308</v>
      </c>
      <c r="E535" s="5">
        <f>E536</f>
        <v>20594</v>
      </c>
      <c r="F535" s="116">
        <f t="shared" si="53"/>
        <v>0.07104534610553818</v>
      </c>
      <c r="G535" s="5">
        <f>G536</f>
        <v>54447</v>
      </c>
      <c r="H535" s="5" t="e">
        <f>#REF!+H536</f>
        <v>#REF!</v>
      </c>
      <c r="I535" s="54">
        <f t="shared" si="56"/>
        <v>264.382829950471</v>
      </c>
      <c r="J535" s="70"/>
      <c r="K535" s="90"/>
    </row>
    <row r="536" spans="1:11" s="13" customFormat="1" ht="12.75">
      <c r="A536" s="165"/>
      <c r="B536" s="151"/>
      <c r="C536" s="4">
        <v>2900</v>
      </c>
      <c r="D536" s="4" t="s">
        <v>315</v>
      </c>
      <c r="E536" s="6">
        <v>20594</v>
      </c>
      <c r="F536" s="116">
        <f aca="true" t="shared" si="57" ref="F536:F570">(E536/$E$807)*100</f>
        <v>0.07104534610553818</v>
      </c>
      <c r="G536" s="6">
        <v>54447</v>
      </c>
      <c r="H536" s="61"/>
      <c r="I536" s="54">
        <f t="shared" si="56"/>
        <v>264.382829950471</v>
      </c>
      <c r="J536" s="37"/>
      <c r="K536" s="90"/>
    </row>
    <row r="537" spans="1:11" ht="17.25" customHeight="1">
      <c r="A537" s="165"/>
      <c r="B537" s="166">
        <v>85206</v>
      </c>
      <c r="C537" s="3"/>
      <c r="D537" s="3" t="s">
        <v>318</v>
      </c>
      <c r="E537" s="5">
        <f>E538+E539+E540</f>
        <v>8001</v>
      </c>
      <c r="F537" s="116">
        <f t="shared" si="57"/>
        <v>0.02760191386765131</v>
      </c>
      <c r="G537" s="5">
        <f>G538+G539+G540</f>
        <v>13166</v>
      </c>
      <c r="H537" s="5" t="e">
        <f>H538+#REF!+H539+H540</f>
        <v>#REF!</v>
      </c>
      <c r="I537" s="54"/>
      <c r="J537" s="70"/>
      <c r="K537" s="90"/>
    </row>
    <row r="538" spans="1:11" ht="17.25" customHeight="1">
      <c r="A538" s="165"/>
      <c r="B538" s="153"/>
      <c r="C538" s="4">
        <v>4110</v>
      </c>
      <c r="D538" s="4" t="s">
        <v>83</v>
      </c>
      <c r="E538" s="6">
        <v>1176</v>
      </c>
      <c r="F538" s="116">
        <f t="shared" si="57"/>
        <v>0.004056974216767647</v>
      </c>
      <c r="G538" s="30">
        <v>1934</v>
      </c>
      <c r="H538" s="84"/>
      <c r="I538" s="54"/>
      <c r="J538" s="37"/>
      <c r="K538" s="90"/>
    </row>
    <row r="539" spans="1:11" ht="17.25" customHeight="1">
      <c r="A539" s="165"/>
      <c r="B539" s="153"/>
      <c r="C539" s="4">
        <v>4170</v>
      </c>
      <c r="D539" s="4" t="s">
        <v>85</v>
      </c>
      <c r="E539" s="6">
        <v>6825</v>
      </c>
      <c r="F539" s="116">
        <f t="shared" si="57"/>
        <v>0.023544939650883664</v>
      </c>
      <c r="G539" s="30">
        <v>11232</v>
      </c>
      <c r="H539" s="84"/>
      <c r="I539" s="54"/>
      <c r="J539" s="37"/>
      <c r="K539" s="90"/>
    </row>
    <row r="540" spans="1:11" ht="17.25" customHeight="1">
      <c r="A540" s="165"/>
      <c r="B540" s="149"/>
      <c r="C540" s="4">
        <v>4300</v>
      </c>
      <c r="D540" s="4" t="s">
        <v>86</v>
      </c>
      <c r="E540" s="6"/>
      <c r="F540" s="116">
        <f t="shared" si="57"/>
        <v>0</v>
      </c>
      <c r="G540" s="30"/>
      <c r="H540" s="84"/>
      <c r="I540" s="54"/>
      <c r="J540" s="37"/>
      <c r="K540" s="90"/>
    </row>
    <row r="541" spans="1:11" ht="37.5" customHeight="1">
      <c r="A541" s="165"/>
      <c r="B541" s="154">
        <v>85212</v>
      </c>
      <c r="C541" s="4"/>
      <c r="D541" s="3" t="s">
        <v>182</v>
      </c>
      <c r="E541" s="5">
        <f>E544+E545+E546+E547+E548+E549+E550+E551+E552+E554+E555+E556+E557+E558+E560+E561+E553+E559</f>
        <v>2960132</v>
      </c>
      <c r="F541" s="116">
        <f t="shared" si="57"/>
        <v>10.21188707672521</v>
      </c>
      <c r="G541" s="5">
        <f>G544+G545+G546+G547+G548+G549+G550+G551+G552+G554+G555+G556+G557+G558+G560+G561+G553+G559</f>
        <v>2927430</v>
      </c>
      <c r="H541" s="5">
        <f>H544+H545+H546+H547+H548+H549+H550+H551+H552+H554+H555+H556+H557+H558+H560+H561+H553</f>
        <v>0</v>
      </c>
      <c r="I541" s="54">
        <f t="shared" si="56"/>
        <v>98.8952519684933</v>
      </c>
      <c r="J541" s="37">
        <f aca="true" t="shared" si="58" ref="J541:J562">(G541/$G$807)*100</f>
        <v>11.618526492291108</v>
      </c>
      <c r="K541" s="90"/>
    </row>
    <row r="542" spans="1:11" ht="16.5" customHeight="1">
      <c r="A542" s="165"/>
      <c r="B542" s="154"/>
      <c r="C542" s="4"/>
      <c r="D542" s="3" t="s">
        <v>272</v>
      </c>
      <c r="E542" s="5">
        <v>2904543</v>
      </c>
      <c r="F542" s="116">
        <f t="shared" si="57"/>
        <v>10.020115699398769</v>
      </c>
      <c r="G542" s="5">
        <v>2870562</v>
      </c>
      <c r="H542" s="5"/>
      <c r="I542" s="54">
        <f t="shared" si="56"/>
        <v>98.83007412870114</v>
      </c>
      <c r="J542" s="37">
        <f t="shared" si="58"/>
        <v>11.39282600942265</v>
      </c>
      <c r="K542" s="90"/>
    </row>
    <row r="543" spans="1:11" ht="16.5" customHeight="1">
      <c r="A543" s="165"/>
      <c r="B543" s="154"/>
      <c r="C543" s="4"/>
      <c r="D543" s="3" t="s">
        <v>273</v>
      </c>
      <c r="E543" s="5">
        <v>55589</v>
      </c>
      <c r="F543" s="116">
        <f t="shared" si="57"/>
        <v>0.19177137732644278</v>
      </c>
      <c r="G543" s="5">
        <v>56868</v>
      </c>
      <c r="H543" s="85"/>
      <c r="I543" s="54">
        <f t="shared" si="56"/>
        <v>102.30081490942453</v>
      </c>
      <c r="J543" s="37">
        <f t="shared" si="58"/>
        <v>0.22570048286845829</v>
      </c>
      <c r="K543" s="90"/>
    </row>
    <row r="544" spans="1:11" ht="12.75">
      <c r="A544" s="165"/>
      <c r="B544" s="154"/>
      <c r="C544" s="4">
        <v>3020</v>
      </c>
      <c r="D544" s="4" t="s">
        <v>183</v>
      </c>
      <c r="E544" s="6">
        <v>976</v>
      </c>
      <c r="F544" s="116">
        <f t="shared" si="57"/>
        <v>0.00336701261527655</v>
      </c>
      <c r="G544" s="30">
        <v>813</v>
      </c>
      <c r="H544" s="84"/>
      <c r="I544" s="54">
        <f t="shared" si="56"/>
        <v>83.29918032786885</v>
      </c>
      <c r="J544" s="37">
        <f t="shared" si="58"/>
        <v>0.00322667392157376</v>
      </c>
      <c r="K544" s="90"/>
    </row>
    <row r="545" spans="1:11" ht="12.75">
      <c r="A545" s="165"/>
      <c r="B545" s="154"/>
      <c r="C545" s="4">
        <v>3110</v>
      </c>
      <c r="D545" s="4" t="s">
        <v>184</v>
      </c>
      <c r="E545" s="6">
        <v>2810295</v>
      </c>
      <c r="F545" s="116">
        <f t="shared" si="57"/>
        <v>9.694978194312103</v>
      </c>
      <c r="G545" s="30">
        <v>2784445</v>
      </c>
      <c r="H545" s="84"/>
      <c r="I545" s="54">
        <f t="shared" si="56"/>
        <v>99.08016774039736</v>
      </c>
      <c r="J545" s="37">
        <f t="shared" si="58"/>
        <v>11.051040673501165</v>
      </c>
      <c r="K545" s="90"/>
    </row>
    <row r="546" spans="1:11" ht="12.75">
      <c r="A546" s="165"/>
      <c r="B546" s="154"/>
      <c r="C546" s="4">
        <v>4010</v>
      </c>
      <c r="D546" s="4" t="s">
        <v>185</v>
      </c>
      <c r="E546" s="6">
        <v>77440</v>
      </c>
      <c r="F546" s="116">
        <f t="shared" si="57"/>
        <v>0.26715313209735253</v>
      </c>
      <c r="G546" s="30">
        <v>82062</v>
      </c>
      <c r="H546" s="84"/>
      <c r="I546" s="54">
        <f t="shared" si="56"/>
        <v>105.9684917355372</v>
      </c>
      <c r="J546" s="37">
        <f t="shared" si="58"/>
        <v>0.3256916547997366</v>
      </c>
      <c r="K546" s="90"/>
    </row>
    <row r="547" spans="1:11" ht="12.75">
      <c r="A547" s="165"/>
      <c r="B547" s="154"/>
      <c r="C547" s="4">
        <v>4040</v>
      </c>
      <c r="D547" s="4" t="s">
        <v>95</v>
      </c>
      <c r="E547" s="6">
        <v>5471</v>
      </c>
      <c r="F547" s="116">
        <f t="shared" si="57"/>
        <v>0.018873899608788942</v>
      </c>
      <c r="G547" s="30">
        <v>6012</v>
      </c>
      <c r="H547" s="84"/>
      <c r="I547" s="54">
        <f t="shared" si="56"/>
        <v>109.88850301590203</v>
      </c>
      <c r="J547" s="37">
        <f t="shared" si="58"/>
        <v>0.02386071785547533</v>
      </c>
      <c r="K547" s="90"/>
    </row>
    <row r="548" spans="1:11" ht="12.75">
      <c r="A548" s="165"/>
      <c r="B548" s="154"/>
      <c r="C548" s="4">
        <v>4110</v>
      </c>
      <c r="D548" s="4" t="s">
        <v>186</v>
      </c>
      <c r="E548" s="6">
        <v>14250</v>
      </c>
      <c r="F548" s="116">
        <f t="shared" si="57"/>
        <v>0.049159764106240615</v>
      </c>
      <c r="G548" s="30">
        <v>15166</v>
      </c>
      <c r="H548" s="84"/>
      <c r="I548" s="54">
        <f t="shared" si="56"/>
        <v>106.4280701754386</v>
      </c>
      <c r="J548" s="37">
        <f t="shared" si="58"/>
        <v>0.060191558049923294</v>
      </c>
      <c r="K548" s="90"/>
    </row>
    <row r="549" spans="1:11" ht="12.75">
      <c r="A549" s="165"/>
      <c r="B549" s="154"/>
      <c r="C549" s="4">
        <v>4120</v>
      </c>
      <c r="D549" s="4" t="s">
        <v>104</v>
      </c>
      <c r="E549" s="6">
        <v>2027</v>
      </c>
      <c r="F549" s="116">
        <f t="shared" si="57"/>
        <v>0.006992760831112262</v>
      </c>
      <c r="G549" s="30">
        <v>2158</v>
      </c>
      <c r="H549" s="84"/>
      <c r="I549" s="54">
        <f t="shared" si="56"/>
        <v>106.4627528367045</v>
      </c>
      <c r="J549" s="37">
        <f t="shared" si="58"/>
        <v>0.00856477530474314</v>
      </c>
      <c r="K549" s="90"/>
    </row>
    <row r="550" spans="1:11" ht="12.75">
      <c r="A550" s="165"/>
      <c r="B550" s="154"/>
      <c r="C550" s="4">
        <v>4210</v>
      </c>
      <c r="D550" s="4" t="s">
        <v>171</v>
      </c>
      <c r="E550" s="6">
        <v>5104</v>
      </c>
      <c r="F550" s="116">
        <f t="shared" si="57"/>
        <v>0.01760782007005278</v>
      </c>
      <c r="G550" s="30">
        <v>4092</v>
      </c>
      <c r="H550" s="84"/>
      <c r="I550" s="54">
        <f t="shared" si="56"/>
        <v>80.17241379310344</v>
      </c>
      <c r="J550" s="37">
        <f t="shared" si="58"/>
        <v>0.01624052852039339</v>
      </c>
      <c r="K550" s="90"/>
    </row>
    <row r="551" spans="1:11" ht="12.75">
      <c r="A551" s="165"/>
      <c r="B551" s="154"/>
      <c r="C551" s="4">
        <v>4260</v>
      </c>
      <c r="D551" s="4" t="s">
        <v>74</v>
      </c>
      <c r="E551" s="6">
        <v>4122</v>
      </c>
      <c r="F551" s="116">
        <f t="shared" si="57"/>
        <v>0.014220108606731495</v>
      </c>
      <c r="G551" s="30">
        <v>3600</v>
      </c>
      <c r="H551" s="84"/>
      <c r="I551" s="54">
        <f t="shared" si="56"/>
        <v>87.33624454148472</v>
      </c>
      <c r="J551" s="37">
        <f t="shared" si="58"/>
        <v>0.01428785500327864</v>
      </c>
      <c r="K551" s="90"/>
    </row>
    <row r="552" spans="1:11" ht="12.75">
      <c r="A552" s="165"/>
      <c r="B552" s="154"/>
      <c r="C552" s="4">
        <v>4270</v>
      </c>
      <c r="D552" s="4" t="s">
        <v>76</v>
      </c>
      <c r="E552" s="6">
        <v>762</v>
      </c>
      <c r="F552" s="116">
        <f t="shared" si="57"/>
        <v>0.002628753701681077</v>
      </c>
      <c r="G552" s="30">
        <v>652</v>
      </c>
      <c r="H552" s="84"/>
      <c r="I552" s="54">
        <f t="shared" si="56"/>
        <v>85.56430446194226</v>
      </c>
      <c r="J552" s="37">
        <f t="shared" si="58"/>
        <v>0.0025876892950382428</v>
      </c>
      <c r="K552" s="90"/>
    </row>
    <row r="553" spans="1:11" ht="12.75">
      <c r="A553" s="165"/>
      <c r="B553" s="154"/>
      <c r="C553" s="4">
        <v>4280</v>
      </c>
      <c r="D553" s="4" t="s">
        <v>89</v>
      </c>
      <c r="E553" s="6">
        <v>110</v>
      </c>
      <c r="F553" s="116">
        <f t="shared" si="57"/>
        <v>0.00037947888082010304</v>
      </c>
      <c r="G553" s="30">
        <v>100</v>
      </c>
      <c r="H553" s="84"/>
      <c r="I553" s="54">
        <f t="shared" si="56"/>
        <v>90.9090909090909</v>
      </c>
      <c r="J553" s="37">
        <f t="shared" si="58"/>
        <v>0.00039688486120218445</v>
      </c>
      <c r="K553" s="90"/>
    </row>
    <row r="554" spans="1:11" ht="12.75">
      <c r="A554" s="165"/>
      <c r="B554" s="154"/>
      <c r="C554" s="4">
        <v>4300</v>
      </c>
      <c r="D554" s="4" t="s">
        <v>174</v>
      </c>
      <c r="E554" s="6">
        <v>23275</v>
      </c>
      <c r="F554" s="116">
        <f t="shared" si="57"/>
        <v>0.08029428137352634</v>
      </c>
      <c r="G554" s="30">
        <v>19928</v>
      </c>
      <c r="H554" s="84"/>
      <c r="I554" s="54">
        <f t="shared" si="56"/>
        <v>85.61976369495167</v>
      </c>
      <c r="J554" s="37">
        <f t="shared" si="58"/>
        <v>0.07909121514037132</v>
      </c>
      <c r="K554" s="90"/>
    </row>
    <row r="555" spans="1:11" ht="22.5">
      <c r="A555" s="165"/>
      <c r="B555" s="154"/>
      <c r="C555" s="4">
        <v>4370</v>
      </c>
      <c r="D555" s="4" t="s">
        <v>132</v>
      </c>
      <c r="E555" s="6">
        <v>1595</v>
      </c>
      <c r="F555" s="116">
        <f t="shared" si="57"/>
        <v>0.0055024437718914935</v>
      </c>
      <c r="G555" s="30">
        <v>1386</v>
      </c>
      <c r="H555" s="84"/>
      <c r="I555" s="54">
        <f t="shared" si="56"/>
        <v>86.89655172413792</v>
      </c>
      <c r="J555" s="37">
        <f t="shared" si="58"/>
        <v>0.005500824176262276</v>
      </c>
      <c r="K555" s="90"/>
    </row>
    <row r="556" spans="1:11" ht="12.75">
      <c r="A556" s="165"/>
      <c r="B556" s="154"/>
      <c r="C556" s="4">
        <v>4400</v>
      </c>
      <c r="D556" s="4" t="s">
        <v>175</v>
      </c>
      <c r="E556" s="6">
        <v>2549</v>
      </c>
      <c r="F556" s="116">
        <f t="shared" si="57"/>
        <v>0.008793560611004022</v>
      </c>
      <c r="G556" s="30">
        <v>2110</v>
      </c>
      <c r="H556" s="84"/>
      <c r="I556" s="54">
        <f t="shared" si="56"/>
        <v>82.77755982738329</v>
      </c>
      <c r="J556" s="37">
        <f t="shared" si="58"/>
        <v>0.008374270571366091</v>
      </c>
      <c r="K556" s="90"/>
    </row>
    <row r="557" spans="1:11" ht="12.75">
      <c r="A557" s="165"/>
      <c r="B557" s="154"/>
      <c r="C557" s="4">
        <v>4410</v>
      </c>
      <c r="D557" s="4" t="s">
        <v>122</v>
      </c>
      <c r="E557" s="6">
        <v>213</v>
      </c>
      <c r="F557" s="116">
        <f t="shared" si="57"/>
        <v>0.0007348091055880177</v>
      </c>
      <c r="G557" s="30">
        <v>198</v>
      </c>
      <c r="H557" s="84"/>
      <c r="I557" s="54">
        <f t="shared" si="56"/>
        <v>92.95774647887323</v>
      </c>
      <c r="J557" s="37">
        <f t="shared" si="58"/>
        <v>0.0007858320251803253</v>
      </c>
      <c r="K557" s="90"/>
    </row>
    <row r="558" spans="1:11" ht="12.75">
      <c r="A558" s="165"/>
      <c r="B558" s="154"/>
      <c r="C558" s="4">
        <v>4440</v>
      </c>
      <c r="D558" s="4" t="s">
        <v>176</v>
      </c>
      <c r="E558" s="6">
        <v>2735</v>
      </c>
      <c r="F558" s="116">
        <f t="shared" si="57"/>
        <v>0.009435224900390742</v>
      </c>
      <c r="G558" s="30">
        <v>2798</v>
      </c>
      <c r="H558" s="84"/>
      <c r="I558" s="54">
        <f t="shared" si="56"/>
        <v>102.30347349177332</v>
      </c>
      <c r="J558" s="37">
        <f t="shared" si="58"/>
        <v>0.011104838416437121</v>
      </c>
      <c r="K558" s="90"/>
    </row>
    <row r="559" spans="1:11" ht="12.75">
      <c r="A559" s="165"/>
      <c r="B559" s="154"/>
      <c r="C559" s="4">
        <v>4580</v>
      </c>
      <c r="D559" s="4" t="s">
        <v>420</v>
      </c>
      <c r="E559" s="6">
        <v>7112</v>
      </c>
      <c r="F559" s="116">
        <f t="shared" si="57"/>
        <v>0.02453503454902339</v>
      </c>
      <c r="G559" s="30"/>
      <c r="H559" s="84"/>
      <c r="I559" s="54"/>
      <c r="J559" s="37"/>
      <c r="K559" s="90"/>
    </row>
    <row r="560" spans="1:11" ht="22.5">
      <c r="A560" s="165"/>
      <c r="B560" s="154"/>
      <c r="C560" s="4">
        <v>4700</v>
      </c>
      <c r="D560" s="4" t="s">
        <v>137</v>
      </c>
      <c r="E560" s="6">
        <v>2096</v>
      </c>
      <c r="F560" s="116">
        <f t="shared" si="57"/>
        <v>0.007230797583626691</v>
      </c>
      <c r="G560" s="30">
        <v>1910</v>
      </c>
      <c r="H560" s="84"/>
      <c r="I560" s="54">
        <f t="shared" si="56"/>
        <v>91.12595419847328</v>
      </c>
      <c r="J560" s="37">
        <f t="shared" si="58"/>
        <v>0.007580500848961723</v>
      </c>
      <c r="K560" s="90"/>
    </row>
    <row r="561" spans="1:11" ht="12.75">
      <c r="A561" s="165"/>
      <c r="B561" s="154"/>
      <c r="C561" s="4">
        <v>4950</v>
      </c>
      <c r="D561" s="4" t="s">
        <v>421</v>
      </c>
      <c r="E561" s="6"/>
      <c r="F561" s="116">
        <f t="shared" si="57"/>
        <v>0</v>
      </c>
      <c r="G561" s="30"/>
      <c r="H561" s="84"/>
      <c r="I561" s="54" t="e">
        <f>(G561/E561)*100</f>
        <v>#DIV/0!</v>
      </c>
      <c r="J561" s="37">
        <f t="shared" si="58"/>
        <v>0</v>
      </c>
      <c r="K561" s="90"/>
    </row>
    <row r="562" spans="1:11" ht="40.5" customHeight="1">
      <c r="A562" s="165"/>
      <c r="B562" s="154">
        <v>85213</v>
      </c>
      <c r="C562" s="4"/>
      <c r="D562" s="3" t="s">
        <v>187</v>
      </c>
      <c r="E562" s="5">
        <f>E565</f>
        <v>36774</v>
      </c>
      <c r="F562" s="116">
        <f t="shared" si="57"/>
        <v>0.1268632396661679</v>
      </c>
      <c r="G562" s="5">
        <f>G565</f>
        <v>34577</v>
      </c>
      <c r="H562" s="5">
        <f>H565</f>
        <v>0</v>
      </c>
      <c r="I562" s="54">
        <f>(G562/E562)*100</f>
        <v>94.0256703105455</v>
      </c>
      <c r="J562" s="37">
        <f t="shared" si="58"/>
        <v>0.13723087845787932</v>
      </c>
      <c r="K562" s="90"/>
    </row>
    <row r="563" spans="1:11" ht="12.75">
      <c r="A563" s="165"/>
      <c r="B563" s="154"/>
      <c r="C563" s="4"/>
      <c r="D563" s="4" t="s">
        <v>292</v>
      </c>
      <c r="E563" s="6">
        <v>23479</v>
      </c>
      <c r="F563" s="116">
        <f t="shared" si="57"/>
        <v>0.08099804220704726</v>
      </c>
      <c r="G563" s="6">
        <v>18820</v>
      </c>
      <c r="H563" s="61"/>
      <c r="I563" s="54">
        <f aca="true" t="shared" si="59" ref="I563:I623">(G563/E563)*100</f>
        <v>80.15673580646535</v>
      </c>
      <c r="J563" s="37"/>
      <c r="K563" s="90"/>
    </row>
    <row r="564" spans="1:11" ht="12.75">
      <c r="A564" s="165"/>
      <c r="B564" s="154"/>
      <c r="C564" s="4"/>
      <c r="D564" s="4" t="s">
        <v>293</v>
      </c>
      <c r="E564" s="6">
        <v>13295</v>
      </c>
      <c r="F564" s="116">
        <f t="shared" si="57"/>
        <v>0.045865197459120634</v>
      </c>
      <c r="G564" s="6">
        <v>15757</v>
      </c>
      <c r="H564" s="61"/>
      <c r="I564" s="54">
        <f t="shared" si="59"/>
        <v>118.518239939827</v>
      </c>
      <c r="J564" s="37"/>
      <c r="K564" s="90"/>
    </row>
    <row r="565" spans="1:11" ht="12.75">
      <c r="A565" s="165"/>
      <c r="B565" s="154"/>
      <c r="C565" s="4">
        <v>4130</v>
      </c>
      <c r="D565" s="4" t="s">
        <v>188</v>
      </c>
      <c r="E565" s="6">
        <v>36774</v>
      </c>
      <c r="F565" s="116">
        <f t="shared" si="57"/>
        <v>0.1268632396661679</v>
      </c>
      <c r="G565" s="30">
        <v>34577</v>
      </c>
      <c r="H565" s="84"/>
      <c r="I565" s="54">
        <f t="shared" si="59"/>
        <v>94.0256703105455</v>
      </c>
      <c r="J565" s="37">
        <f aca="true" t="shared" si="60" ref="J565:J570">(G565/$G$807)*100</f>
        <v>0.13723087845787932</v>
      </c>
      <c r="K565" s="90"/>
    </row>
    <row r="566" spans="1:11" ht="21.75">
      <c r="A566" s="165"/>
      <c r="B566" s="154">
        <v>85214</v>
      </c>
      <c r="C566" s="4"/>
      <c r="D566" s="3" t="s">
        <v>290</v>
      </c>
      <c r="E566" s="5">
        <f>E567+E568</f>
        <v>116940</v>
      </c>
      <c r="F566" s="116">
        <f t="shared" si="57"/>
        <v>0.4034205483918441</v>
      </c>
      <c r="G566" s="5">
        <f>G567+G568</f>
        <v>118840</v>
      </c>
      <c r="H566" s="5">
        <f>H567+H568</f>
        <v>0</v>
      </c>
      <c r="I566" s="54">
        <f t="shared" si="59"/>
        <v>101.62476483666838</v>
      </c>
      <c r="J566" s="37">
        <f t="shared" si="60"/>
        <v>0.47165796905267604</v>
      </c>
      <c r="K566" s="90"/>
    </row>
    <row r="567" spans="1:11" ht="12.75">
      <c r="A567" s="165"/>
      <c r="B567" s="154"/>
      <c r="C567" s="4">
        <v>3110</v>
      </c>
      <c r="D567" s="4" t="s">
        <v>184</v>
      </c>
      <c r="E567" s="6">
        <v>116940</v>
      </c>
      <c r="F567" s="116">
        <f t="shared" si="57"/>
        <v>0.4034205483918441</v>
      </c>
      <c r="G567" s="30">
        <v>118840</v>
      </c>
      <c r="H567" s="84"/>
      <c r="I567" s="54">
        <f t="shared" si="59"/>
        <v>101.62476483666838</v>
      </c>
      <c r="J567" s="37">
        <f t="shared" si="60"/>
        <v>0.47165796905267604</v>
      </c>
      <c r="K567" s="90"/>
    </row>
    <row r="568" spans="1:11" ht="12.75">
      <c r="A568" s="165"/>
      <c r="B568" s="154"/>
      <c r="C568" s="4">
        <v>3119</v>
      </c>
      <c r="D568" s="4" t="s">
        <v>184</v>
      </c>
      <c r="E568" s="6"/>
      <c r="F568" s="116">
        <f t="shared" si="57"/>
        <v>0</v>
      </c>
      <c r="G568" s="30"/>
      <c r="H568" s="84"/>
      <c r="I568" s="54"/>
      <c r="J568" s="37">
        <f t="shared" si="60"/>
        <v>0</v>
      </c>
      <c r="K568" s="90"/>
    </row>
    <row r="569" spans="1:11" ht="12.75">
      <c r="A569" s="165"/>
      <c r="B569" s="150">
        <v>85215</v>
      </c>
      <c r="C569" s="4"/>
      <c r="D569" s="3" t="s">
        <v>190</v>
      </c>
      <c r="E569" s="5">
        <f>E570+E571</f>
        <v>129437</v>
      </c>
      <c r="F569" s="116">
        <f t="shared" si="57"/>
        <v>0.4465327990610152</v>
      </c>
      <c r="G569" s="5">
        <f>G570+G571</f>
        <v>131885</v>
      </c>
      <c r="H569" s="5">
        <f>H570</f>
        <v>0</v>
      </c>
      <c r="I569" s="54">
        <f t="shared" si="59"/>
        <v>101.8912675664609</v>
      </c>
      <c r="J569" s="37">
        <f t="shared" si="60"/>
        <v>0.523431599196501</v>
      </c>
      <c r="K569" s="90"/>
    </row>
    <row r="570" spans="1:11" ht="12.75">
      <c r="A570" s="165"/>
      <c r="B570" s="151"/>
      <c r="C570" s="4">
        <v>3110</v>
      </c>
      <c r="D570" s="4" t="s">
        <v>184</v>
      </c>
      <c r="E570" s="6">
        <v>129427</v>
      </c>
      <c r="F570" s="116">
        <f t="shared" si="57"/>
        <v>0.4464983009809406</v>
      </c>
      <c r="G570" s="30">
        <v>131885</v>
      </c>
      <c r="H570" s="84"/>
      <c r="I570" s="54">
        <f t="shared" si="59"/>
        <v>101.89914005578433</v>
      </c>
      <c r="J570" s="37">
        <f t="shared" si="60"/>
        <v>0.523431599196501</v>
      </c>
      <c r="K570" s="90"/>
    </row>
    <row r="571" spans="1:11" ht="12.75">
      <c r="A571" s="165"/>
      <c r="B571" s="153"/>
      <c r="C571" s="4">
        <v>4210</v>
      </c>
      <c r="D571" s="4" t="s">
        <v>171</v>
      </c>
      <c r="E571" s="6">
        <v>10</v>
      </c>
      <c r="F571" s="116"/>
      <c r="G571" s="30"/>
      <c r="H571" s="84"/>
      <c r="I571" s="54"/>
      <c r="J571" s="37"/>
      <c r="K571" s="90"/>
    </row>
    <row r="572" spans="1:11" ht="12.75">
      <c r="A572" s="165"/>
      <c r="B572" s="43">
        <v>85216</v>
      </c>
      <c r="C572" s="3"/>
      <c r="D572" s="3" t="s">
        <v>278</v>
      </c>
      <c r="E572" s="5">
        <f>E573</f>
        <v>274346</v>
      </c>
      <c r="F572" s="116">
        <f aca="true" t="shared" si="61" ref="F572:F603">(E572/$E$807)*100</f>
        <v>0.9464410276133817</v>
      </c>
      <c r="G572" s="5">
        <f>G573</f>
        <v>274400</v>
      </c>
      <c r="H572" s="5">
        <f>H573</f>
        <v>0</v>
      </c>
      <c r="I572" s="54">
        <f t="shared" si="59"/>
        <v>100.01968317380243</v>
      </c>
      <c r="J572" s="37">
        <f aca="true" t="shared" si="62" ref="J572:J603">(G572/$G$807)*100</f>
        <v>1.0890520591387942</v>
      </c>
      <c r="K572" s="90"/>
    </row>
    <row r="573" spans="1:11" ht="12.75">
      <c r="A573" s="165"/>
      <c r="B573" s="43"/>
      <c r="C573" s="4">
        <v>3110</v>
      </c>
      <c r="D573" s="4" t="s">
        <v>184</v>
      </c>
      <c r="E573" s="6">
        <v>274346</v>
      </c>
      <c r="F573" s="116">
        <f t="shared" si="61"/>
        <v>0.9464410276133817</v>
      </c>
      <c r="G573" s="30">
        <v>274400</v>
      </c>
      <c r="H573" s="84"/>
      <c r="I573" s="54">
        <f t="shared" si="59"/>
        <v>100.01968317380243</v>
      </c>
      <c r="J573" s="37">
        <f t="shared" si="62"/>
        <v>1.0890520591387942</v>
      </c>
      <c r="K573" s="90"/>
    </row>
    <row r="574" spans="1:11" ht="12.75">
      <c r="A574" s="165"/>
      <c r="B574" s="150">
        <v>85219</v>
      </c>
      <c r="C574" s="4"/>
      <c r="D574" s="3" t="s">
        <v>26</v>
      </c>
      <c r="E574" s="5">
        <f>E575+E576+E577+E578+E579+E580+E581+E582+E583+E584+E585+E586+E588+E590+E591+E592+E593+E594+E597+E589+E587+E596+E595</f>
        <v>606370</v>
      </c>
      <c r="F574" s="116">
        <f t="shared" si="61"/>
        <v>2.091860081480781</v>
      </c>
      <c r="G574" s="5">
        <f>G575+G576+G577+G578+G579+G580+G581+G582+G583+G584+G585+G586+G588+G590+G591+G592+G593+G594+G597+G589+G587+G596+G595</f>
        <v>668426</v>
      </c>
      <c r="H574" s="5">
        <f>H575+H576+H577+H578+H579+H580+H581+H582+H583+H584+H585+H586+H588+H590+H591+H592+H593+H594+H597+H589+H587+H596+H595</f>
        <v>0</v>
      </c>
      <c r="I574" s="54">
        <f t="shared" si="59"/>
        <v>110.23401553506935</v>
      </c>
      <c r="J574" s="37">
        <f t="shared" si="62"/>
        <v>2.6528816023393134</v>
      </c>
      <c r="K574" s="90"/>
    </row>
    <row r="575" spans="1:11" ht="12.75">
      <c r="A575" s="165"/>
      <c r="B575" s="152"/>
      <c r="C575" s="4">
        <v>3020</v>
      </c>
      <c r="D575" s="4" t="s">
        <v>191</v>
      </c>
      <c r="E575" s="6">
        <v>5920</v>
      </c>
      <c r="F575" s="116">
        <f t="shared" si="61"/>
        <v>0.020422863404136453</v>
      </c>
      <c r="G575" s="30">
        <v>5920</v>
      </c>
      <c r="H575" s="84"/>
      <c r="I575" s="54">
        <f t="shared" si="59"/>
        <v>100</v>
      </c>
      <c r="J575" s="37">
        <f t="shared" si="62"/>
        <v>0.02349558378316932</v>
      </c>
      <c r="K575" s="90"/>
    </row>
    <row r="576" spans="1:11" ht="12.75">
      <c r="A576" s="165"/>
      <c r="B576" s="152"/>
      <c r="C576" s="4">
        <v>4010</v>
      </c>
      <c r="D576" s="4" t="s">
        <v>185</v>
      </c>
      <c r="E576" s="6">
        <v>386732</v>
      </c>
      <c r="F576" s="116">
        <f t="shared" si="61"/>
        <v>1.3341511503392733</v>
      </c>
      <c r="G576" s="30">
        <v>434001</v>
      </c>
      <c r="H576" s="84"/>
      <c r="I576" s="54">
        <f t="shared" si="59"/>
        <v>112.22267616850945</v>
      </c>
      <c r="J576" s="37">
        <f t="shared" si="62"/>
        <v>1.7224842664660924</v>
      </c>
      <c r="K576" s="90"/>
    </row>
    <row r="577" spans="1:11" ht="12.75">
      <c r="A577" s="165"/>
      <c r="B577" s="152"/>
      <c r="C577" s="4">
        <v>4040</v>
      </c>
      <c r="D577" s="4" t="s">
        <v>95</v>
      </c>
      <c r="E577" s="6">
        <v>27552</v>
      </c>
      <c r="F577" s="116">
        <f t="shared" si="61"/>
        <v>0.09504911022141344</v>
      </c>
      <c r="G577" s="30">
        <v>32334</v>
      </c>
      <c r="H577" s="84"/>
      <c r="I577" s="54">
        <f t="shared" si="59"/>
        <v>117.35627177700347</v>
      </c>
      <c r="J577" s="37">
        <f t="shared" si="62"/>
        <v>0.12832875102111432</v>
      </c>
      <c r="K577" s="90"/>
    </row>
    <row r="578" spans="1:11" ht="12.75">
      <c r="A578" s="165"/>
      <c r="B578" s="152"/>
      <c r="C578" s="4">
        <v>4110</v>
      </c>
      <c r="D578" s="4" t="s">
        <v>186</v>
      </c>
      <c r="E578" s="6">
        <v>70200</v>
      </c>
      <c r="F578" s="116">
        <f t="shared" si="61"/>
        <v>0.24217652212337482</v>
      </c>
      <c r="G578" s="30">
        <v>78526</v>
      </c>
      <c r="H578" s="84"/>
      <c r="I578" s="54">
        <f t="shared" si="59"/>
        <v>111.86039886039887</v>
      </c>
      <c r="J578" s="37">
        <f t="shared" si="62"/>
        <v>0.31165780610762733</v>
      </c>
      <c r="K578" s="90"/>
    </row>
    <row r="579" spans="1:11" ht="12.75">
      <c r="A579" s="165"/>
      <c r="B579" s="152"/>
      <c r="C579" s="4">
        <v>4120</v>
      </c>
      <c r="D579" s="4" t="s">
        <v>104</v>
      </c>
      <c r="E579" s="6">
        <v>8172</v>
      </c>
      <c r="F579" s="116">
        <f t="shared" si="61"/>
        <v>0.028191831036926195</v>
      </c>
      <c r="G579" s="30">
        <v>7466</v>
      </c>
      <c r="H579" s="84"/>
      <c r="I579" s="54">
        <f t="shared" si="59"/>
        <v>91.36074400391581</v>
      </c>
      <c r="J579" s="37">
        <f t="shared" si="62"/>
        <v>0.029631423737355094</v>
      </c>
      <c r="K579" s="90"/>
    </row>
    <row r="580" spans="1:11" ht="12.75">
      <c r="A580" s="165"/>
      <c r="B580" s="152"/>
      <c r="C580" s="4">
        <v>4170</v>
      </c>
      <c r="D580" s="4" t="s">
        <v>105</v>
      </c>
      <c r="E580" s="6">
        <v>4000</v>
      </c>
      <c r="F580" s="116">
        <f t="shared" si="61"/>
        <v>0.013799232029821926</v>
      </c>
      <c r="G580" s="30">
        <v>4000</v>
      </c>
      <c r="H580" s="84"/>
      <c r="I580" s="54">
        <f t="shared" si="59"/>
        <v>100</v>
      </c>
      <c r="J580" s="37">
        <f t="shared" si="62"/>
        <v>0.015875394448087377</v>
      </c>
      <c r="K580" s="90"/>
    </row>
    <row r="581" spans="1:11" ht="12.75">
      <c r="A581" s="165"/>
      <c r="B581" s="152"/>
      <c r="C581" s="4">
        <v>4210</v>
      </c>
      <c r="D581" s="4" t="s">
        <v>73</v>
      </c>
      <c r="E581" s="6">
        <v>27000</v>
      </c>
      <c r="F581" s="116">
        <f t="shared" si="61"/>
        <v>0.09314481620129801</v>
      </c>
      <c r="G581" s="30">
        <v>27621</v>
      </c>
      <c r="H581" s="84"/>
      <c r="I581" s="54">
        <f t="shared" si="59"/>
        <v>102.3</v>
      </c>
      <c r="J581" s="37">
        <f t="shared" si="62"/>
        <v>0.10962356751265537</v>
      </c>
      <c r="K581" s="90"/>
    </row>
    <row r="582" spans="1:11" ht="12.75">
      <c r="A582" s="165"/>
      <c r="B582" s="152"/>
      <c r="C582" s="4">
        <v>4260</v>
      </c>
      <c r="D582" s="4" t="s">
        <v>181</v>
      </c>
      <c r="E582" s="6">
        <v>17281</v>
      </c>
      <c r="F582" s="116">
        <f t="shared" si="61"/>
        <v>0.05961613217683818</v>
      </c>
      <c r="G582" s="30">
        <v>17678</v>
      </c>
      <c r="H582" s="84"/>
      <c r="I582" s="54">
        <f t="shared" si="59"/>
        <v>102.29732075690063</v>
      </c>
      <c r="J582" s="37">
        <f t="shared" si="62"/>
        <v>0.07016130576332216</v>
      </c>
      <c r="K582" s="90"/>
    </row>
    <row r="583" spans="1:11" ht="12.75">
      <c r="A583" s="165"/>
      <c r="B583" s="152"/>
      <c r="C583" s="4">
        <v>4270</v>
      </c>
      <c r="D583" s="4" t="s">
        <v>76</v>
      </c>
      <c r="E583" s="6">
        <v>4921</v>
      </c>
      <c r="F583" s="116">
        <f t="shared" si="61"/>
        <v>0.01697650520468843</v>
      </c>
      <c r="G583" s="30">
        <v>5034</v>
      </c>
      <c r="H583" s="84"/>
      <c r="I583" s="54">
        <f t="shared" si="59"/>
        <v>102.29628124364967</v>
      </c>
      <c r="J583" s="37">
        <f t="shared" si="62"/>
        <v>0.019979183912917964</v>
      </c>
      <c r="K583" s="90"/>
    </row>
    <row r="584" spans="1:11" ht="12.75">
      <c r="A584" s="165"/>
      <c r="B584" s="152"/>
      <c r="C584" s="4">
        <v>4280</v>
      </c>
      <c r="D584" s="4" t="s">
        <v>89</v>
      </c>
      <c r="E584" s="6">
        <v>485</v>
      </c>
      <c r="F584" s="116">
        <f t="shared" si="61"/>
        <v>0.0016731568836159088</v>
      </c>
      <c r="G584" s="30">
        <v>496</v>
      </c>
      <c r="H584" s="84"/>
      <c r="I584" s="54">
        <f t="shared" si="59"/>
        <v>102.2680412371134</v>
      </c>
      <c r="J584" s="37">
        <f t="shared" si="62"/>
        <v>0.001968548911562835</v>
      </c>
      <c r="K584" s="90"/>
    </row>
    <row r="585" spans="1:11" ht="12.75">
      <c r="A585" s="165"/>
      <c r="B585" s="152"/>
      <c r="C585" s="4">
        <v>4300</v>
      </c>
      <c r="D585" s="4" t="s">
        <v>86</v>
      </c>
      <c r="E585" s="6">
        <v>17025</v>
      </c>
      <c r="F585" s="116">
        <f t="shared" si="61"/>
        <v>0.058732981326929584</v>
      </c>
      <c r="G585" s="30">
        <v>17417</v>
      </c>
      <c r="H585" s="84"/>
      <c r="I585" s="54">
        <f t="shared" si="59"/>
        <v>102.30249632892804</v>
      </c>
      <c r="J585" s="37">
        <f t="shared" si="62"/>
        <v>0.06912543627558447</v>
      </c>
      <c r="K585" s="90"/>
    </row>
    <row r="586" spans="1:11" ht="12.75">
      <c r="A586" s="165"/>
      <c r="B586" s="152"/>
      <c r="C586" s="4">
        <v>4350</v>
      </c>
      <c r="D586" s="4" t="s">
        <v>192</v>
      </c>
      <c r="E586" s="6">
        <v>754</v>
      </c>
      <c r="F586" s="116">
        <f t="shared" si="61"/>
        <v>0.0026011552376214333</v>
      </c>
      <c r="G586" s="30">
        <v>771</v>
      </c>
      <c r="H586" s="84"/>
      <c r="I586" s="54">
        <f t="shared" si="59"/>
        <v>102.25464190981432</v>
      </c>
      <c r="J586" s="37">
        <f t="shared" si="62"/>
        <v>0.003059982279868842</v>
      </c>
      <c r="K586" s="90"/>
    </row>
    <row r="587" spans="1:11" ht="33.75">
      <c r="A587" s="165"/>
      <c r="B587" s="152"/>
      <c r="C587" s="4">
        <v>4360</v>
      </c>
      <c r="D587" s="4" t="s">
        <v>319</v>
      </c>
      <c r="E587" s="6">
        <v>315</v>
      </c>
      <c r="F587" s="116">
        <f t="shared" si="61"/>
        <v>0.0010866895223484768</v>
      </c>
      <c r="G587" s="30">
        <v>322</v>
      </c>
      <c r="H587" s="84"/>
      <c r="I587" s="54">
        <f t="shared" si="59"/>
        <v>102.22222222222221</v>
      </c>
      <c r="J587" s="37">
        <f t="shared" si="62"/>
        <v>0.001277969253071034</v>
      </c>
      <c r="K587" s="90"/>
    </row>
    <row r="588" spans="1:11" ht="22.5">
      <c r="A588" s="165"/>
      <c r="B588" s="152"/>
      <c r="C588" s="4">
        <v>4370</v>
      </c>
      <c r="D588" s="4" t="s">
        <v>132</v>
      </c>
      <c r="E588" s="6">
        <v>2456</v>
      </c>
      <c r="F588" s="116">
        <f t="shared" si="61"/>
        <v>0.008472728466310664</v>
      </c>
      <c r="G588" s="30">
        <v>2512</v>
      </c>
      <c r="H588" s="84"/>
      <c r="I588" s="54">
        <f t="shared" si="59"/>
        <v>102.28013029315962</v>
      </c>
      <c r="J588" s="37">
        <f t="shared" si="62"/>
        <v>0.009969747713398874</v>
      </c>
      <c r="K588" s="90"/>
    </row>
    <row r="589" spans="1:11" ht="12.75">
      <c r="A589" s="165"/>
      <c r="B589" s="152"/>
      <c r="C589" s="4">
        <v>4390</v>
      </c>
      <c r="D589" s="4" t="s">
        <v>224</v>
      </c>
      <c r="E589" s="6">
        <v>20</v>
      </c>
      <c r="F589" s="116">
        <f t="shared" si="61"/>
        <v>6.899616014910963E-05</v>
      </c>
      <c r="G589" s="30">
        <v>20</v>
      </c>
      <c r="H589" s="84"/>
      <c r="I589" s="54">
        <f t="shared" si="59"/>
        <v>100</v>
      </c>
      <c r="J589" s="37">
        <f t="shared" si="62"/>
        <v>7.937697224043689E-05</v>
      </c>
      <c r="K589" s="90"/>
    </row>
    <row r="590" spans="1:11" ht="15.75" customHeight="1">
      <c r="A590" s="165"/>
      <c r="B590" s="152"/>
      <c r="C590" s="4">
        <v>4400</v>
      </c>
      <c r="D590" s="4" t="s">
        <v>175</v>
      </c>
      <c r="E590" s="6">
        <v>7894</v>
      </c>
      <c r="F590" s="116">
        <f t="shared" si="61"/>
        <v>0.027232784410853573</v>
      </c>
      <c r="G590" s="30">
        <v>8076</v>
      </c>
      <c r="H590" s="84"/>
      <c r="I590" s="54">
        <f t="shared" si="59"/>
        <v>102.30554851786167</v>
      </c>
      <c r="J590" s="37">
        <f t="shared" si="62"/>
        <v>0.03205242139068842</v>
      </c>
      <c r="K590" s="90"/>
    </row>
    <row r="591" spans="1:11" ht="12.75">
      <c r="A591" s="165"/>
      <c r="B591" s="152"/>
      <c r="C591" s="4">
        <v>4410</v>
      </c>
      <c r="D591" s="4" t="s">
        <v>122</v>
      </c>
      <c r="E591" s="6">
        <v>968</v>
      </c>
      <c r="F591" s="116">
        <f t="shared" si="61"/>
        <v>0.003339414151216907</v>
      </c>
      <c r="G591" s="30">
        <v>990</v>
      </c>
      <c r="H591" s="84"/>
      <c r="I591" s="54">
        <f t="shared" si="59"/>
        <v>102.27272727272727</v>
      </c>
      <c r="J591" s="37">
        <f t="shared" si="62"/>
        <v>0.003929160125901626</v>
      </c>
      <c r="K591" s="90"/>
    </row>
    <row r="592" spans="1:11" ht="12.75">
      <c r="A592" s="165"/>
      <c r="B592" s="152"/>
      <c r="C592" s="4">
        <v>4420</v>
      </c>
      <c r="D592" s="4" t="s">
        <v>124</v>
      </c>
      <c r="E592" s="6">
        <v>100</v>
      </c>
      <c r="F592" s="116">
        <f t="shared" si="61"/>
        <v>0.00034498080074554815</v>
      </c>
      <c r="G592" s="30">
        <v>102</v>
      </c>
      <c r="H592" s="84"/>
      <c r="I592" s="54">
        <f t="shared" si="59"/>
        <v>102</v>
      </c>
      <c r="J592" s="37">
        <f t="shared" si="62"/>
        <v>0.0004048225584262281</v>
      </c>
      <c r="K592" s="90"/>
    </row>
    <row r="593" spans="1:11" ht="12.75">
      <c r="A593" s="165"/>
      <c r="B593" s="152"/>
      <c r="C593" s="4">
        <v>4430</v>
      </c>
      <c r="D593" s="4" t="s">
        <v>193</v>
      </c>
      <c r="E593" s="6">
        <v>3533</v>
      </c>
      <c r="F593" s="116">
        <f t="shared" si="61"/>
        <v>0.012188171690340217</v>
      </c>
      <c r="G593" s="30">
        <v>3614</v>
      </c>
      <c r="H593" s="84"/>
      <c r="I593" s="54">
        <f t="shared" si="59"/>
        <v>102.29266911972827</v>
      </c>
      <c r="J593" s="37">
        <f t="shared" si="62"/>
        <v>0.014343418883846945</v>
      </c>
      <c r="K593" s="90"/>
    </row>
    <row r="594" spans="1:11" ht="15.75" customHeight="1">
      <c r="A594" s="165"/>
      <c r="B594" s="152"/>
      <c r="C594" s="4">
        <v>4440</v>
      </c>
      <c r="D594" s="4" t="s">
        <v>176</v>
      </c>
      <c r="E594" s="6">
        <v>12128</v>
      </c>
      <c r="F594" s="116">
        <f t="shared" si="61"/>
        <v>0.04183927151442008</v>
      </c>
      <c r="G594" s="30">
        <v>12407</v>
      </c>
      <c r="H594" s="84"/>
      <c r="I594" s="54">
        <f t="shared" si="59"/>
        <v>102.3004617414248</v>
      </c>
      <c r="J594" s="37">
        <f t="shared" si="62"/>
        <v>0.04924150472935502</v>
      </c>
      <c r="K594" s="90"/>
    </row>
    <row r="595" spans="1:11" ht="15.75" customHeight="1">
      <c r="A595" s="165"/>
      <c r="B595" s="152"/>
      <c r="C595" s="4">
        <v>4520</v>
      </c>
      <c r="D595" s="4" t="s">
        <v>346</v>
      </c>
      <c r="E595" s="6">
        <v>1404</v>
      </c>
      <c r="F595" s="116">
        <f t="shared" si="61"/>
        <v>0.004843530442467497</v>
      </c>
      <c r="G595" s="30">
        <v>1436</v>
      </c>
      <c r="H595" s="84"/>
      <c r="I595" s="54">
        <f t="shared" si="59"/>
        <v>102.27920227920228</v>
      </c>
      <c r="J595" s="37">
        <f t="shared" si="62"/>
        <v>0.005699266606863368</v>
      </c>
      <c r="K595" s="90"/>
    </row>
    <row r="596" spans="1:11" ht="22.5" customHeight="1">
      <c r="A596" s="165"/>
      <c r="B596" s="152"/>
      <c r="C596" s="4">
        <v>4610</v>
      </c>
      <c r="D596" s="4" t="s">
        <v>217</v>
      </c>
      <c r="E596" s="6">
        <v>10</v>
      </c>
      <c r="F596" s="116">
        <f t="shared" si="61"/>
        <v>3.4498080074554816E-05</v>
      </c>
      <c r="G596" s="30">
        <v>10</v>
      </c>
      <c r="H596" s="84"/>
      <c r="I596" s="54">
        <f t="shared" si="59"/>
        <v>100</v>
      </c>
      <c r="J596" s="37">
        <f t="shared" si="62"/>
        <v>3.9688486120218444E-05</v>
      </c>
      <c r="K596" s="90"/>
    </row>
    <row r="597" spans="1:11" ht="22.5">
      <c r="A597" s="165"/>
      <c r="B597" s="152"/>
      <c r="C597" s="4">
        <v>4700</v>
      </c>
      <c r="D597" s="4" t="s">
        <v>137</v>
      </c>
      <c r="E597" s="6">
        <v>7500</v>
      </c>
      <c r="F597" s="116">
        <f t="shared" si="61"/>
        <v>0.025873560055916116</v>
      </c>
      <c r="G597" s="30">
        <v>7673</v>
      </c>
      <c r="H597" s="84"/>
      <c r="I597" s="54">
        <f t="shared" si="59"/>
        <v>102.30666666666666</v>
      </c>
      <c r="J597" s="37">
        <f t="shared" si="62"/>
        <v>0.030452975400043613</v>
      </c>
      <c r="K597" s="90"/>
    </row>
    <row r="598" spans="1:11" ht="12.75">
      <c r="A598" s="165"/>
      <c r="B598" s="150">
        <v>85228</v>
      </c>
      <c r="C598" s="4"/>
      <c r="D598" s="3" t="s">
        <v>194</v>
      </c>
      <c r="E598" s="5">
        <f>E599+E601+E602+E603+E604+E605+E606+E607+E608+E609+E610+E611+E600</f>
        <v>161566</v>
      </c>
      <c r="F598" s="116">
        <f t="shared" si="61"/>
        <v>0.5573716805325524</v>
      </c>
      <c r="G598" s="5">
        <f>G599+G601+G602+G603+G604+G605+G606+G607+G608+G609+G610+G611+G600</f>
        <v>187897</v>
      </c>
      <c r="H598" s="5">
        <f>H599+H601+H602+H603+H604+H605+H606+H607+H608+H609+H610+H611+H600</f>
        <v>0</v>
      </c>
      <c r="I598" s="54">
        <f t="shared" si="59"/>
        <v>116.2973645445205</v>
      </c>
      <c r="J598" s="37">
        <f t="shared" si="62"/>
        <v>0.7457347476530685</v>
      </c>
      <c r="K598" s="90"/>
    </row>
    <row r="599" spans="1:11" ht="12.75">
      <c r="A599" s="165"/>
      <c r="B599" s="151"/>
      <c r="C599" s="4">
        <v>3020</v>
      </c>
      <c r="D599" s="4" t="s">
        <v>183</v>
      </c>
      <c r="E599" s="6">
        <v>3137</v>
      </c>
      <c r="F599" s="116">
        <f t="shared" si="61"/>
        <v>0.010822047719387846</v>
      </c>
      <c r="G599" s="30">
        <v>3209</v>
      </c>
      <c r="H599" s="84"/>
      <c r="I599" s="54">
        <f t="shared" si="59"/>
        <v>102.29518648390182</v>
      </c>
      <c r="J599" s="37">
        <f t="shared" si="62"/>
        <v>0.012736035195978098</v>
      </c>
      <c r="K599" s="90"/>
    </row>
    <row r="600" spans="1:11" ht="12.75">
      <c r="A600" s="165"/>
      <c r="B600" s="151"/>
      <c r="C600" s="4">
        <v>3030</v>
      </c>
      <c r="D600" s="4" t="s">
        <v>120</v>
      </c>
      <c r="E600" s="6">
        <v>1577</v>
      </c>
      <c r="F600" s="116">
        <f t="shared" si="61"/>
        <v>0.005440347227757295</v>
      </c>
      <c r="G600" s="30">
        <v>1613</v>
      </c>
      <c r="H600" s="84"/>
      <c r="I600" s="54">
        <f t="shared" si="59"/>
        <v>102.28281547241598</v>
      </c>
      <c r="J600" s="37">
        <f t="shared" si="62"/>
        <v>0.006401752811191235</v>
      </c>
      <c r="K600" s="90"/>
    </row>
    <row r="601" spans="1:11" ht="12.75">
      <c r="A601" s="165"/>
      <c r="B601" s="151"/>
      <c r="C601" s="4">
        <v>4010</v>
      </c>
      <c r="D601" s="4" t="s">
        <v>185</v>
      </c>
      <c r="E601" s="6">
        <v>97467</v>
      </c>
      <c r="F601" s="116">
        <f t="shared" si="61"/>
        <v>0.33624243706266344</v>
      </c>
      <c r="G601" s="30">
        <v>120232</v>
      </c>
      <c r="H601" s="84"/>
      <c r="I601" s="54">
        <f t="shared" si="59"/>
        <v>123.3566232673623</v>
      </c>
      <c r="J601" s="37">
        <f t="shared" si="62"/>
        <v>0.47718260632061044</v>
      </c>
      <c r="K601" s="90"/>
    </row>
    <row r="602" spans="1:11" ht="12.75">
      <c r="A602" s="165"/>
      <c r="B602" s="151"/>
      <c r="C602" s="4">
        <v>4040</v>
      </c>
      <c r="D602" s="4" t="s">
        <v>95</v>
      </c>
      <c r="E602" s="6">
        <v>6080</v>
      </c>
      <c r="F602" s="116">
        <f t="shared" si="61"/>
        <v>0.02097483268532933</v>
      </c>
      <c r="G602" s="30">
        <v>8023</v>
      </c>
      <c r="H602" s="84"/>
      <c r="I602" s="54">
        <f t="shared" si="59"/>
        <v>131.95723684210526</v>
      </c>
      <c r="J602" s="37">
        <f t="shared" si="62"/>
        <v>0.03184207241425126</v>
      </c>
      <c r="K602" s="90"/>
    </row>
    <row r="603" spans="1:11" ht="12.75">
      <c r="A603" s="165"/>
      <c r="B603" s="151"/>
      <c r="C603" s="4">
        <v>4110</v>
      </c>
      <c r="D603" s="4" t="s">
        <v>186</v>
      </c>
      <c r="E603" s="6">
        <v>21050</v>
      </c>
      <c r="F603" s="116">
        <f t="shared" si="61"/>
        <v>0.0726184585569379</v>
      </c>
      <c r="G603" s="30">
        <v>20380</v>
      </c>
      <c r="H603" s="84"/>
      <c r="I603" s="54">
        <f t="shared" si="59"/>
        <v>96.81710213776722</v>
      </c>
      <c r="J603" s="37">
        <f t="shared" si="62"/>
        <v>0.0808851347130052</v>
      </c>
      <c r="K603" s="90"/>
    </row>
    <row r="604" spans="1:11" ht="12.75">
      <c r="A604" s="165"/>
      <c r="B604" s="151"/>
      <c r="C604" s="4">
        <v>4120</v>
      </c>
      <c r="D604" s="4" t="s">
        <v>104</v>
      </c>
      <c r="E604" s="6">
        <v>1151</v>
      </c>
      <c r="F604" s="116">
        <f aca="true" t="shared" si="63" ref="F604:F635">(E604/$E$807)*100</f>
        <v>0.00397072901658126</v>
      </c>
      <c r="G604" s="30">
        <v>668</v>
      </c>
      <c r="H604" s="84"/>
      <c r="I604" s="54">
        <f t="shared" si="59"/>
        <v>58.036490008688105</v>
      </c>
      <c r="J604" s="37">
        <f aca="true" t="shared" si="64" ref="J604:J625">(G604/$G$807)*100</f>
        <v>0.0026511908728305924</v>
      </c>
      <c r="K604" s="90"/>
    </row>
    <row r="605" spans="1:11" ht="12.75">
      <c r="A605" s="165"/>
      <c r="B605" s="151"/>
      <c r="C605" s="4">
        <v>4170</v>
      </c>
      <c r="D605" s="4" t="s">
        <v>105</v>
      </c>
      <c r="E605" s="6">
        <v>22400</v>
      </c>
      <c r="F605" s="116">
        <f t="shared" si="63"/>
        <v>0.07727569936700279</v>
      </c>
      <c r="G605" s="30">
        <v>24777</v>
      </c>
      <c r="H605" s="84"/>
      <c r="I605" s="54">
        <f t="shared" si="59"/>
        <v>110.61160714285714</v>
      </c>
      <c r="J605" s="37">
        <f t="shared" si="64"/>
        <v>0.09833616206006524</v>
      </c>
      <c r="K605" s="90"/>
    </row>
    <row r="606" spans="1:11" ht="12.75">
      <c r="A606" s="165"/>
      <c r="B606" s="151"/>
      <c r="C606" s="4">
        <v>4210</v>
      </c>
      <c r="D606" s="4" t="s">
        <v>73</v>
      </c>
      <c r="E606" s="6">
        <v>441</v>
      </c>
      <c r="F606" s="116">
        <f t="shared" si="63"/>
        <v>0.0015213653312878674</v>
      </c>
      <c r="G606" s="30">
        <v>451</v>
      </c>
      <c r="H606" s="84"/>
      <c r="I606" s="54">
        <f t="shared" si="59"/>
        <v>102.26757369614512</v>
      </c>
      <c r="J606" s="37">
        <f t="shared" si="64"/>
        <v>0.001789950724021852</v>
      </c>
      <c r="K606" s="90"/>
    </row>
    <row r="607" spans="1:11" ht="12.75">
      <c r="A607" s="165"/>
      <c r="B607" s="151"/>
      <c r="C607" s="4">
        <v>4280</v>
      </c>
      <c r="D607" s="4" t="s">
        <v>89</v>
      </c>
      <c r="E607" s="6">
        <v>240</v>
      </c>
      <c r="F607" s="116">
        <f t="shared" si="63"/>
        <v>0.0008279539217893156</v>
      </c>
      <c r="G607" s="30">
        <v>240</v>
      </c>
      <c r="H607" s="84"/>
      <c r="I607" s="54">
        <f t="shared" si="59"/>
        <v>100</v>
      </c>
      <c r="J607" s="37">
        <f t="shared" si="64"/>
        <v>0.0009525236668852426</v>
      </c>
      <c r="K607" s="90"/>
    </row>
    <row r="608" spans="1:11" ht="12.75">
      <c r="A608" s="165"/>
      <c r="B608" s="151"/>
      <c r="C608" s="4">
        <v>4300</v>
      </c>
      <c r="D608" s="4" t="s">
        <v>86</v>
      </c>
      <c r="E608" s="6"/>
      <c r="F608" s="116">
        <f t="shared" si="63"/>
        <v>0</v>
      </c>
      <c r="G608" s="30"/>
      <c r="H608" s="84"/>
      <c r="I608" s="54"/>
      <c r="J608" s="37">
        <f t="shared" si="64"/>
        <v>0</v>
      </c>
      <c r="K608" s="90"/>
    </row>
    <row r="609" spans="1:11" ht="12.75">
      <c r="A609" s="165"/>
      <c r="B609" s="151"/>
      <c r="C609" s="4">
        <v>4410</v>
      </c>
      <c r="D609" s="4" t="s">
        <v>122</v>
      </c>
      <c r="E609" s="6">
        <v>2376</v>
      </c>
      <c r="F609" s="116">
        <f t="shared" si="63"/>
        <v>0.008196743825714224</v>
      </c>
      <c r="G609" s="30">
        <v>2430</v>
      </c>
      <c r="H609" s="84"/>
      <c r="I609" s="54">
        <f t="shared" si="59"/>
        <v>102.27272727272727</v>
      </c>
      <c r="J609" s="37">
        <f t="shared" si="64"/>
        <v>0.009644302127213083</v>
      </c>
      <c r="K609" s="90"/>
    </row>
    <row r="610" spans="1:11" ht="15.75" customHeight="1">
      <c r="A610" s="165"/>
      <c r="B610" s="151"/>
      <c r="C610" s="4">
        <v>4440</v>
      </c>
      <c r="D610" s="4" t="s">
        <v>176</v>
      </c>
      <c r="E610" s="6">
        <v>5287</v>
      </c>
      <c r="F610" s="116">
        <f t="shared" si="63"/>
        <v>0.018239134935417133</v>
      </c>
      <c r="G610" s="30">
        <v>5514</v>
      </c>
      <c r="H610" s="84"/>
      <c r="I610" s="54">
        <f t="shared" si="59"/>
        <v>104.29355021751465</v>
      </c>
      <c r="J610" s="37">
        <f t="shared" si="64"/>
        <v>0.021884231246688448</v>
      </c>
      <c r="K610" s="90"/>
    </row>
    <row r="611" spans="1:11" ht="24.75" customHeight="1">
      <c r="A611" s="165"/>
      <c r="B611" s="167"/>
      <c r="C611" s="4">
        <v>4700</v>
      </c>
      <c r="D611" s="4" t="s">
        <v>137</v>
      </c>
      <c r="E611" s="6">
        <v>360</v>
      </c>
      <c r="F611" s="116">
        <f t="shared" si="63"/>
        <v>0.0012419308826839735</v>
      </c>
      <c r="G611" s="30">
        <v>360</v>
      </c>
      <c r="H611" s="84"/>
      <c r="I611" s="54">
        <f t="shared" si="59"/>
        <v>100</v>
      </c>
      <c r="J611" s="37">
        <f t="shared" si="64"/>
        <v>0.0014287855003278641</v>
      </c>
      <c r="K611" s="90"/>
    </row>
    <row r="612" spans="1:11" ht="12.75">
      <c r="A612" s="165"/>
      <c r="B612" s="154">
        <v>85232</v>
      </c>
      <c r="C612" s="4"/>
      <c r="D612" s="3" t="s">
        <v>27</v>
      </c>
      <c r="E612" s="5">
        <f>E613+E614+E615+E616+E617+E618+E620+E621+E623+E624+E619+E622</f>
        <v>23954</v>
      </c>
      <c r="F612" s="116">
        <f t="shared" si="63"/>
        <v>0.0826367010105886</v>
      </c>
      <c r="G612" s="5">
        <f>G613+G614+G615+G616+G617+G618+G620+G621+G623+G624+G619+G622</f>
        <v>25294</v>
      </c>
      <c r="H612" s="5" t="e">
        <f>H613+H614+H615+H616+H617+H618+#REF!+H620+H621+H623+H624+#REF!+H619+H622</f>
        <v>#REF!</v>
      </c>
      <c r="I612" s="54">
        <f t="shared" si="59"/>
        <v>105.59405527260583</v>
      </c>
      <c r="J612" s="37">
        <f t="shared" si="64"/>
        <v>0.10038805679248054</v>
      </c>
      <c r="K612" s="90"/>
    </row>
    <row r="613" spans="1:11" ht="12.75">
      <c r="A613" s="165"/>
      <c r="B613" s="155"/>
      <c r="C613" s="4">
        <v>3020</v>
      </c>
      <c r="D613" s="4" t="s">
        <v>170</v>
      </c>
      <c r="E613" s="6">
        <v>142</v>
      </c>
      <c r="F613" s="116">
        <f t="shared" si="63"/>
        <v>0.0004898727370586784</v>
      </c>
      <c r="G613" s="30">
        <v>142</v>
      </c>
      <c r="H613" s="84"/>
      <c r="I613" s="54">
        <f t="shared" si="59"/>
        <v>100</v>
      </c>
      <c r="J613" s="37">
        <f t="shared" si="64"/>
        <v>0.0005635765029071019</v>
      </c>
      <c r="K613" s="90"/>
    </row>
    <row r="614" spans="1:11" ht="12.75">
      <c r="A614" s="165"/>
      <c r="B614" s="155"/>
      <c r="C614" s="4">
        <v>4010</v>
      </c>
      <c r="D614" s="4" t="s">
        <v>93</v>
      </c>
      <c r="E614" s="6">
        <v>13267</v>
      </c>
      <c r="F614" s="116">
        <f t="shared" si="63"/>
        <v>0.04576860283491188</v>
      </c>
      <c r="G614" s="30">
        <v>14004</v>
      </c>
      <c r="H614" s="84"/>
      <c r="I614" s="54">
        <f t="shared" si="59"/>
        <v>105.5551368056079</v>
      </c>
      <c r="J614" s="37">
        <f t="shared" si="64"/>
        <v>0.05557975596275391</v>
      </c>
      <c r="K614" s="90"/>
    </row>
    <row r="615" spans="1:11" ht="12.75">
      <c r="A615" s="165"/>
      <c r="B615" s="155"/>
      <c r="C615" s="4">
        <v>4040</v>
      </c>
      <c r="D615" s="4" t="s">
        <v>95</v>
      </c>
      <c r="E615" s="6">
        <v>934</v>
      </c>
      <c r="F615" s="116">
        <f t="shared" si="63"/>
        <v>0.00322212067896342</v>
      </c>
      <c r="G615" s="30">
        <v>1056</v>
      </c>
      <c r="H615" s="84"/>
      <c r="I615" s="54">
        <f t="shared" si="59"/>
        <v>113.06209850107068</v>
      </c>
      <c r="J615" s="37">
        <f t="shared" si="64"/>
        <v>0.0041911041342950674</v>
      </c>
      <c r="K615" s="90"/>
    </row>
    <row r="616" spans="1:11" ht="12.75">
      <c r="A616" s="165"/>
      <c r="B616" s="155"/>
      <c r="C616" s="4">
        <v>4110</v>
      </c>
      <c r="D616" s="4" t="s">
        <v>186</v>
      </c>
      <c r="E616" s="6">
        <v>2313</v>
      </c>
      <c r="F616" s="116">
        <f t="shared" si="63"/>
        <v>0.007979405921244529</v>
      </c>
      <c r="G616" s="30">
        <v>2593</v>
      </c>
      <c r="H616" s="84"/>
      <c r="I616" s="54">
        <f t="shared" si="59"/>
        <v>112.1054907047125</v>
      </c>
      <c r="J616" s="37">
        <f t="shared" si="64"/>
        <v>0.010291224450972643</v>
      </c>
      <c r="K616" s="90"/>
    </row>
    <row r="617" spans="1:11" ht="12.75">
      <c r="A617" s="165"/>
      <c r="B617" s="155"/>
      <c r="C617" s="4">
        <v>4120</v>
      </c>
      <c r="D617" s="4" t="s">
        <v>104</v>
      </c>
      <c r="E617" s="6">
        <v>329</v>
      </c>
      <c r="F617" s="116">
        <f t="shared" si="63"/>
        <v>0.0011349868344528535</v>
      </c>
      <c r="G617" s="30">
        <v>369</v>
      </c>
      <c r="H617" s="84"/>
      <c r="I617" s="54">
        <f t="shared" si="59"/>
        <v>112.15805471124621</v>
      </c>
      <c r="J617" s="37">
        <f t="shared" si="64"/>
        <v>0.0014645051378360606</v>
      </c>
      <c r="K617" s="90"/>
    </row>
    <row r="618" spans="1:11" ht="12.75">
      <c r="A618" s="165"/>
      <c r="B618" s="155"/>
      <c r="C618" s="4">
        <v>4210</v>
      </c>
      <c r="D618" s="4" t="s">
        <v>73</v>
      </c>
      <c r="E618" s="6">
        <v>917</v>
      </c>
      <c r="F618" s="116">
        <f t="shared" si="63"/>
        <v>0.003163473942836677</v>
      </c>
      <c r="G618" s="30">
        <v>938</v>
      </c>
      <c r="H618" s="84"/>
      <c r="I618" s="54">
        <f t="shared" si="59"/>
        <v>102.29007633587786</v>
      </c>
      <c r="J618" s="37">
        <f t="shared" si="64"/>
        <v>0.0037227799980764902</v>
      </c>
      <c r="K618" s="90"/>
    </row>
    <row r="619" spans="1:11" ht="12.75">
      <c r="A619" s="165"/>
      <c r="B619" s="155"/>
      <c r="C619" s="4">
        <v>4260</v>
      </c>
      <c r="D619" s="4" t="s">
        <v>74</v>
      </c>
      <c r="E619" s="6">
        <v>2292</v>
      </c>
      <c r="F619" s="116">
        <f t="shared" si="63"/>
        <v>0.007906959953087964</v>
      </c>
      <c r="G619" s="30">
        <v>2345</v>
      </c>
      <c r="H619" s="84"/>
      <c r="I619" s="54">
        <f t="shared" si="59"/>
        <v>102.31239092495636</v>
      </c>
      <c r="J619" s="37">
        <f t="shared" si="64"/>
        <v>0.009306949995191225</v>
      </c>
      <c r="K619" s="90"/>
    </row>
    <row r="620" spans="1:11" ht="12.75">
      <c r="A620" s="165"/>
      <c r="B620" s="155"/>
      <c r="C620" s="4">
        <v>4300</v>
      </c>
      <c r="D620" s="4" t="s">
        <v>86</v>
      </c>
      <c r="E620" s="6">
        <v>505</v>
      </c>
      <c r="F620" s="116">
        <f t="shared" si="63"/>
        <v>0.0017421530437650183</v>
      </c>
      <c r="G620" s="30">
        <v>517</v>
      </c>
      <c r="H620" s="84"/>
      <c r="I620" s="54">
        <f t="shared" si="59"/>
        <v>102.37623762376238</v>
      </c>
      <c r="J620" s="37">
        <f t="shared" si="64"/>
        <v>0.0020518947324152936</v>
      </c>
      <c r="K620" s="90"/>
    </row>
    <row r="621" spans="1:11" ht="22.5">
      <c r="A621" s="165"/>
      <c r="B621" s="155"/>
      <c r="C621" s="4">
        <v>4370</v>
      </c>
      <c r="D621" s="4" t="s">
        <v>132</v>
      </c>
      <c r="E621" s="6">
        <v>319</v>
      </c>
      <c r="F621" s="116">
        <f t="shared" si="63"/>
        <v>0.0011004887543782987</v>
      </c>
      <c r="G621" s="30">
        <v>326</v>
      </c>
      <c r="H621" s="84"/>
      <c r="I621" s="54">
        <f t="shared" si="59"/>
        <v>102.19435736677116</v>
      </c>
      <c r="J621" s="37">
        <f t="shared" si="64"/>
        <v>0.0012938446475191214</v>
      </c>
      <c r="K621" s="90"/>
    </row>
    <row r="622" spans="1:11" ht="22.5">
      <c r="A622" s="165"/>
      <c r="B622" s="155"/>
      <c r="C622" s="4">
        <v>4400</v>
      </c>
      <c r="D622" s="4" t="s">
        <v>243</v>
      </c>
      <c r="E622" s="6">
        <v>1642</v>
      </c>
      <c r="F622" s="116">
        <f t="shared" si="63"/>
        <v>0.005664584748241901</v>
      </c>
      <c r="G622" s="30">
        <v>1680</v>
      </c>
      <c r="H622" s="84"/>
      <c r="I622" s="54">
        <f t="shared" si="59"/>
        <v>102.31425091352008</v>
      </c>
      <c r="J622" s="37">
        <f t="shared" si="64"/>
        <v>0.006667665668196699</v>
      </c>
      <c r="K622" s="90"/>
    </row>
    <row r="623" spans="1:11" ht="12.75">
      <c r="A623" s="165"/>
      <c r="B623" s="155"/>
      <c r="C623" s="4">
        <v>4410</v>
      </c>
      <c r="D623" s="4" t="s">
        <v>122</v>
      </c>
      <c r="E623" s="6">
        <v>200</v>
      </c>
      <c r="F623" s="116">
        <f t="shared" si="63"/>
        <v>0.0006899616014910963</v>
      </c>
      <c r="G623" s="30">
        <v>205</v>
      </c>
      <c r="H623" s="84"/>
      <c r="I623" s="54">
        <f t="shared" si="59"/>
        <v>102.49999999999999</v>
      </c>
      <c r="J623" s="37">
        <f t="shared" si="64"/>
        <v>0.0008136139654644781</v>
      </c>
      <c r="K623" s="90"/>
    </row>
    <row r="624" spans="1:11" ht="12.75">
      <c r="A624" s="165"/>
      <c r="B624" s="155"/>
      <c r="C624" s="4">
        <v>4440</v>
      </c>
      <c r="D624" s="4" t="s">
        <v>176</v>
      </c>
      <c r="E624" s="6">
        <v>1094</v>
      </c>
      <c r="F624" s="116">
        <f t="shared" si="63"/>
        <v>0.003774089960156297</v>
      </c>
      <c r="G624" s="30">
        <v>1119</v>
      </c>
      <c r="H624" s="84"/>
      <c r="I624" s="54">
        <f aca="true" t="shared" si="65" ref="I624:I667">(G624/E624)*100</f>
        <v>102.28519195612431</v>
      </c>
      <c r="J624" s="37">
        <f t="shared" si="64"/>
        <v>0.004441141596852444</v>
      </c>
      <c r="K624" s="90"/>
    </row>
    <row r="625" spans="1:11" ht="12.75">
      <c r="A625" s="165"/>
      <c r="B625" s="150">
        <v>85295</v>
      </c>
      <c r="C625" s="4"/>
      <c r="D625" s="3" t="s">
        <v>9</v>
      </c>
      <c r="E625" s="5">
        <f>E628+E627+E634+E635+E636+E631+E632+E633</f>
        <v>362261</v>
      </c>
      <c r="F625" s="116">
        <f t="shared" si="63"/>
        <v>1.2497308985888305</v>
      </c>
      <c r="G625" s="5">
        <f>G628+G627+G634+G635+G636+G631+G632+G633</f>
        <v>301016</v>
      </c>
      <c r="H625" s="5" t="e">
        <f>H628+H627+#REF!+H634+H635+#REF!+#REF!+H636</f>
        <v>#REF!</v>
      </c>
      <c r="I625" s="54">
        <f t="shared" si="65"/>
        <v>83.09368107524685</v>
      </c>
      <c r="J625" s="37">
        <f t="shared" si="64"/>
        <v>1.1946869337963675</v>
      </c>
      <c r="K625" s="90"/>
    </row>
    <row r="626" spans="1:11" ht="12.75">
      <c r="A626" s="165"/>
      <c r="B626" s="151"/>
      <c r="C626" s="4"/>
      <c r="D626" s="3" t="s">
        <v>293</v>
      </c>
      <c r="E626" s="5"/>
      <c r="F626" s="116">
        <f t="shared" si="63"/>
        <v>0</v>
      </c>
      <c r="G626" s="5"/>
      <c r="H626" s="85"/>
      <c r="I626" s="54"/>
      <c r="J626" s="37"/>
      <c r="K626" s="90"/>
    </row>
    <row r="627" spans="1:11" s="16" customFormat="1" ht="45" customHeight="1">
      <c r="A627" s="165"/>
      <c r="B627" s="152"/>
      <c r="C627" s="4">
        <v>2830</v>
      </c>
      <c r="D627" s="4" t="s">
        <v>189</v>
      </c>
      <c r="E627" s="6">
        <v>2800</v>
      </c>
      <c r="F627" s="116">
        <f t="shared" si="63"/>
        <v>0.009659462420875349</v>
      </c>
      <c r="G627" s="30">
        <v>3200</v>
      </c>
      <c r="H627" s="84"/>
      <c r="I627" s="54">
        <f t="shared" si="65"/>
        <v>114.28571428571428</v>
      </c>
      <c r="J627" s="37">
        <f>(G627/$G$807)*100</f>
        <v>0.012700315558469902</v>
      </c>
      <c r="K627" s="90"/>
    </row>
    <row r="628" spans="1:11" ht="12.75">
      <c r="A628" s="165"/>
      <c r="B628" s="152"/>
      <c r="C628" s="4">
        <v>3110</v>
      </c>
      <c r="D628" s="4" t="s">
        <v>184</v>
      </c>
      <c r="E628" s="6">
        <f>E629+E630</f>
        <v>355987</v>
      </c>
      <c r="F628" s="116">
        <f t="shared" si="63"/>
        <v>1.2280868031500545</v>
      </c>
      <c r="G628" s="6">
        <f>G629+G630</f>
        <v>297816</v>
      </c>
      <c r="H628" s="6">
        <f>H629+H630</f>
        <v>0</v>
      </c>
      <c r="I628" s="54">
        <f t="shared" si="65"/>
        <v>83.65923474733627</v>
      </c>
      <c r="J628" s="37">
        <f>(G628/$G$807)*100</f>
        <v>1.1819866182378977</v>
      </c>
      <c r="K628" s="90"/>
    </row>
    <row r="629" spans="1:11" ht="12.75">
      <c r="A629" s="165"/>
      <c r="B629" s="152"/>
      <c r="C629" s="4"/>
      <c r="D629" s="25" t="s">
        <v>255</v>
      </c>
      <c r="E629" s="26">
        <v>16000</v>
      </c>
      <c r="F629" s="116">
        <f t="shared" si="63"/>
        <v>0.055196928119287704</v>
      </c>
      <c r="G629" s="39">
        <v>10000</v>
      </c>
      <c r="H629" s="84"/>
      <c r="I629" s="54">
        <f t="shared" si="65"/>
        <v>62.5</v>
      </c>
      <c r="J629" s="37"/>
      <c r="K629" s="90"/>
    </row>
    <row r="630" spans="1:11" ht="12.75">
      <c r="A630" s="165"/>
      <c r="B630" s="152"/>
      <c r="C630" s="4"/>
      <c r="D630" s="25" t="s">
        <v>350</v>
      </c>
      <c r="E630" s="26">
        <v>339987</v>
      </c>
      <c r="F630" s="116">
        <f t="shared" si="63"/>
        <v>1.172889875030767</v>
      </c>
      <c r="G630" s="39">
        <v>287816</v>
      </c>
      <c r="H630" s="84"/>
      <c r="I630" s="54">
        <f t="shared" si="65"/>
        <v>84.6550015147638</v>
      </c>
      <c r="J630" s="37"/>
      <c r="K630" s="90"/>
    </row>
    <row r="631" spans="1:11" ht="12.75">
      <c r="A631" s="165"/>
      <c r="B631" s="152"/>
      <c r="C631" s="4">
        <v>4010</v>
      </c>
      <c r="D631" s="4" t="s">
        <v>93</v>
      </c>
      <c r="E631" s="6">
        <v>1644</v>
      </c>
      <c r="F631" s="116">
        <f t="shared" si="63"/>
        <v>0.005671484364256812</v>
      </c>
      <c r="G631" s="30"/>
      <c r="H631" s="84"/>
      <c r="I631" s="54"/>
      <c r="J631" s="37"/>
      <c r="K631" s="90"/>
    </row>
    <row r="632" spans="1:11" ht="12.75">
      <c r="A632" s="165"/>
      <c r="B632" s="152"/>
      <c r="C632" s="4">
        <v>4110</v>
      </c>
      <c r="D632" s="4" t="s">
        <v>186</v>
      </c>
      <c r="E632" s="6">
        <v>284</v>
      </c>
      <c r="F632" s="116">
        <f t="shared" si="63"/>
        <v>0.0009797454741173569</v>
      </c>
      <c r="G632" s="30"/>
      <c r="H632" s="84"/>
      <c r="I632" s="54"/>
      <c r="J632" s="37"/>
      <c r="K632" s="90"/>
    </row>
    <row r="633" spans="1:11" ht="12.75">
      <c r="A633" s="165"/>
      <c r="B633" s="152"/>
      <c r="C633" s="4">
        <v>4120</v>
      </c>
      <c r="D633" s="4" t="s">
        <v>377</v>
      </c>
      <c r="E633" s="6">
        <v>41</v>
      </c>
      <c r="F633" s="116">
        <f t="shared" si="63"/>
        <v>0.00014144212830567477</v>
      </c>
      <c r="G633" s="30"/>
      <c r="H633" s="84"/>
      <c r="I633" s="54"/>
      <c r="J633" s="37"/>
      <c r="K633" s="90"/>
    </row>
    <row r="634" spans="1:11" ht="12.75">
      <c r="A634" s="165"/>
      <c r="B634" s="152"/>
      <c r="C634" s="4">
        <v>4210</v>
      </c>
      <c r="D634" s="4" t="s">
        <v>73</v>
      </c>
      <c r="E634" s="6">
        <v>108</v>
      </c>
      <c r="F634" s="116">
        <f t="shared" si="63"/>
        <v>0.00037257926480519204</v>
      </c>
      <c r="G634" s="30"/>
      <c r="H634" s="84"/>
      <c r="I634" s="54">
        <f t="shared" si="65"/>
        <v>0</v>
      </c>
      <c r="J634" s="37">
        <f aca="true" t="shared" si="66" ref="J634:J643">(G634/$G$807)*100</f>
        <v>0</v>
      </c>
      <c r="K634" s="90"/>
    </row>
    <row r="635" spans="1:11" ht="12.75">
      <c r="A635" s="165"/>
      <c r="B635" s="152"/>
      <c r="C635" s="4">
        <v>4300</v>
      </c>
      <c r="D635" s="4" t="s">
        <v>86</v>
      </c>
      <c r="E635" s="6">
        <v>1357</v>
      </c>
      <c r="F635" s="116">
        <f t="shared" si="63"/>
        <v>0.00468138946611709</v>
      </c>
      <c r="G635" s="30"/>
      <c r="H635" s="84"/>
      <c r="I635" s="54">
        <f t="shared" si="65"/>
        <v>0</v>
      </c>
      <c r="J635" s="37">
        <f t="shared" si="66"/>
        <v>0</v>
      </c>
      <c r="K635" s="90"/>
    </row>
    <row r="636" spans="1:11" ht="22.5">
      <c r="A636" s="165"/>
      <c r="B636" s="152"/>
      <c r="C636" s="4">
        <v>4370</v>
      </c>
      <c r="D636" s="4" t="s">
        <v>132</v>
      </c>
      <c r="E636" s="6">
        <v>40</v>
      </c>
      <c r="F636" s="116">
        <f aca="true" t="shared" si="67" ref="F636:F643">(E636/$E$807)*100</f>
        <v>0.00013799232029821927</v>
      </c>
      <c r="G636" s="30"/>
      <c r="H636" s="84"/>
      <c r="I636" s="54">
        <f t="shared" si="65"/>
        <v>0</v>
      </c>
      <c r="J636" s="37">
        <f t="shared" si="66"/>
        <v>0</v>
      </c>
      <c r="K636" s="90"/>
    </row>
    <row r="637" spans="1:11" s="13" customFormat="1" ht="21">
      <c r="A637" s="158">
        <v>853</v>
      </c>
      <c r="B637" s="59"/>
      <c r="C637" s="3"/>
      <c r="D637" s="3" t="s">
        <v>238</v>
      </c>
      <c r="E637" s="5">
        <f>E638</f>
        <v>171943</v>
      </c>
      <c r="F637" s="116">
        <f t="shared" si="67"/>
        <v>0.5931703382259179</v>
      </c>
      <c r="G637" s="5">
        <f>G638</f>
        <v>0</v>
      </c>
      <c r="H637" s="5">
        <f>H638</f>
        <v>0</v>
      </c>
      <c r="I637" s="54">
        <f t="shared" si="65"/>
        <v>0</v>
      </c>
      <c r="J637" s="37">
        <f t="shared" si="66"/>
        <v>0</v>
      </c>
      <c r="K637" s="90"/>
    </row>
    <row r="638" spans="1:11" s="13" customFormat="1" ht="12.75">
      <c r="A638" s="165"/>
      <c r="B638" s="150">
        <v>85395</v>
      </c>
      <c r="C638" s="3"/>
      <c r="D638" s="3" t="s">
        <v>9</v>
      </c>
      <c r="E638" s="5">
        <f>SUM(E642:E662)</f>
        <v>171943</v>
      </c>
      <c r="F638" s="116">
        <f t="shared" si="67"/>
        <v>0.5931703382259179</v>
      </c>
      <c r="G638" s="5">
        <f>SUM(G642:G662)</f>
        <v>0</v>
      </c>
      <c r="H638" s="5">
        <f>SUM(H642:H662)</f>
        <v>0</v>
      </c>
      <c r="I638" s="54">
        <f t="shared" si="65"/>
        <v>0</v>
      </c>
      <c r="J638" s="37">
        <f t="shared" si="66"/>
        <v>0</v>
      </c>
      <c r="K638" s="90"/>
    </row>
    <row r="639" spans="1:11" s="19" customFormat="1" ht="12.75">
      <c r="A639" s="165"/>
      <c r="B639" s="151"/>
      <c r="C639" s="8"/>
      <c r="D639" s="8" t="s">
        <v>225</v>
      </c>
      <c r="E639" s="11">
        <f>E638</f>
        <v>171943</v>
      </c>
      <c r="F639" s="116">
        <f t="shared" si="67"/>
        <v>0.5931703382259179</v>
      </c>
      <c r="G639" s="11">
        <f>G638</f>
        <v>0</v>
      </c>
      <c r="H639" s="60"/>
      <c r="I639" s="54">
        <f t="shared" si="65"/>
        <v>0</v>
      </c>
      <c r="J639" s="37">
        <f t="shared" si="66"/>
        <v>0</v>
      </c>
      <c r="K639" s="92"/>
    </row>
    <row r="640" spans="1:11" s="19" customFormat="1" ht="12.75">
      <c r="A640" s="165"/>
      <c r="B640" s="151"/>
      <c r="C640" s="8"/>
      <c r="D640" s="8" t="s">
        <v>271</v>
      </c>
      <c r="E640" s="11"/>
      <c r="F640" s="116">
        <f t="shared" si="67"/>
        <v>0</v>
      </c>
      <c r="G640" s="11"/>
      <c r="H640" s="60"/>
      <c r="I640" s="54"/>
      <c r="J640" s="37">
        <f t="shared" si="66"/>
        <v>0</v>
      </c>
      <c r="K640" s="92"/>
    </row>
    <row r="641" spans="1:11" s="19" customFormat="1" ht="12.75">
      <c r="A641" s="165"/>
      <c r="B641" s="151"/>
      <c r="C641" s="8"/>
      <c r="D641" s="8"/>
      <c r="E641" s="11"/>
      <c r="F641" s="116">
        <f t="shared" si="67"/>
        <v>0</v>
      </c>
      <c r="G641" s="11"/>
      <c r="H641" s="60"/>
      <c r="I641" s="54"/>
      <c r="J641" s="37">
        <f t="shared" si="66"/>
        <v>0</v>
      </c>
      <c r="K641" s="92"/>
    </row>
    <row r="642" spans="1:11" s="16" customFormat="1" ht="12.75">
      <c r="A642" s="165"/>
      <c r="B642" s="151"/>
      <c r="C642" s="4">
        <v>3027</v>
      </c>
      <c r="D642" s="4" t="s">
        <v>170</v>
      </c>
      <c r="E642" s="6">
        <v>970.75</v>
      </c>
      <c r="F642" s="116">
        <f t="shared" si="67"/>
        <v>0.003348901123237409</v>
      </c>
      <c r="G642" s="6"/>
      <c r="H642" s="61"/>
      <c r="I642" s="54">
        <f t="shared" si="65"/>
        <v>0</v>
      </c>
      <c r="J642" s="37">
        <f t="shared" si="66"/>
        <v>0</v>
      </c>
      <c r="K642" s="90"/>
    </row>
    <row r="643" spans="1:11" ht="12.75">
      <c r="A643" s="165"/>
      <c r="B643" s="151"/>
      <c r="C643" s="4">
        <v>3119</v>
      </c>
      <c r="D643" s="4" t="s">
        <v>184</v>
      </c>
      <c r="E643" s="6">
        <v>17981.7</v>
      </c>
      <c r="F643" s="116">
        <f t="shared" si="67"/>
        <v>0.06203341264766224</v>
      </c>
      <c r="G643" s="30"/>
      <c r="H643" s="84"/>
      <c r="I643" s="54">
        <f t="shared" si="65"/>
        <v>0</v>
      </c>
      <c r="J643" s="37">
        <f t="shared" si="66"/>
        <v>0</v>
      </c>
      <c r="K643" s="90"/>
    </row>
    <row r="644" spans="1:11" ht="12.75">
      <c r="A644" s="165"/>
      <c r="B644" s="151"/>
      <c r="C644" s="4">
        <v>4010</v>
      </c>
      <c r="D644" s="4" t="s">
        <v>93</v>
      </c>
      <c r="E644" s="6">
        <v>577</v>
      </c>
      <c r="F644" s="116"/>
      <c r="G644" s="30"/>
      <c r="H644" s="84"/>
      <c r="I644" s="54"/>
      <c r="J644" s="37"/>
      <c r="K644" s="90"/>
    </row>
    <row r="645" spans="1:11" ht="12.75">
      <c r="A645" s="165"/>
      <c r="B645" s="151"/>
      <c r="C645" s="4">
        <v>4017</v>
      </c>
      <c r="D645" s="4" t="s">
        <v>93</v>
      </c>
      <c r="E645" s="6">
        <v>44990.6</v>
      </c>
      <c r="F645" s="116">
        <f>(E645/$E$807)*100</f>
        <v>0.1552089321402266</v>
      </c>
      <c r="G645" s="30"/>
      <c r="H645" s="84"/>
      <c r="I645" s="54">
        <f t="shared" si="65"/>
        <v>0</v>
      </c>
      <c r="J645" s="37"/>
      <c r="K645" s="90"/>
    </row>
    <row r="646" spans="1:11" ht="12.75">
      <c r="A646" s="165"/>
      <c r="B646" s="151"/>
      <c r="C646" s="4">
        <v>4019</v>
      </c>
      <c r="D646" s="4" t="s">
        <v>93</v>
      </c>
      <c r="E646" s="6">
        <v>2283.9</v>
      </c>
      <c r="F646" s="116">
        <f>(E646/$E$807)*100</f>
        <v>0.007879016508227575</v>
      </c>
      <c r="G646" s="30"/>
      <c r="H646" s="84"/>
      <c r="I646" s="54">
        <f t="shared" si="65"/>
        <v>0</v>
      </c>
      <c r="J646" s="37">
        <f>(G646/$G$807)*100</f>
        <v>0</v>
      </c>
      <c r="K646" s="90"/>
    </row>
    <row r="647" spans="1:11" ht="12.75">
      <c r="A647" s="165"/>
      <c r="B647" s="151"/>
      <c r="C647" s="4">
        <v>4047</v>
      </c>
      <c r="D647" s="4" t="s">
        <v>95</v>
      </c>
      <c r="E647" s="6">
        <v>4032.7</v>
      </c>
      <c r="F647" s="116">
        <f>(E647/$E$807)*100</f>
        <v>0.01391204075166572</v>
      </c>
      <c r="G647" s="30"/>
      <c r="H647" s="84"/>
      <c r="I647" s="54">
        <f t="shared" si="65"/>
        <v>0</v>
      </c>
      <c r="J647" s="37">
        <f>(G647/$G$807)*100</f>
        <v>0</v>
      </c>
      <c r="K647" s="90"/>
    </row>
    <row r="648" spans="1:11" ht="12.75">
      <c r="A648" s="165"/>
      <c r="B648" s="151"/>
      <c r="C648" s="4">
        <v>4110</v>
      </c>
      <c r="D648" s="4" t="s">
        <v>186</v>
      </c>
      <c r="E648" s="6">
        <v>99</v>
      </c>
      <c r="F648" s="116">
        <f>(E648/$E$807)*100</f>
        <v>0.00034153099273809273</v>
      </c>
      <c r="G648" s="30"/>
      <c r="H648" s="84"/>
      <c r="I648" s="54">
        <f t="shared" si="65"/>
        <v>0</v>
      </c>
      <c r="J648" s="37"/>
      <c r="K648" s="90"/>
    </row>
    <row r="649" spans="1:11" ht="12.75">
      <c r="A649" s="165"/>
      <c r="B649" s="151"/>
      <c r="C649" s="4">
        <v>4117</v>
      </c>
      <c r="D649" s="4" t="s">
        <v>186</v>
      </c>
      <c r="E649" s="6">
        <v>8835.09</v>
      </c>
      <c r="F649" s="116">
        <f>(E649/$E$807)*100</f>
        <v>0.030479364228589854</v>
      </c>
      <c r="G649" s="30"/>
      <c r="H649" s="84"/>
      <c r="I649" s="54">
        <f t="shared" si="65"/>
        <v>0</v>
      </c>
      <c r="J649" s="37">
        <f>(G649/$G$807)*100</f>
        <v>0</v>
      </c>
      <c r="K649" s="90"/>
    </row>
    <row r="650" spans="1:11" ht="12.75">
      <c r="A650" s="165"/>
      <c r="B650" s="151"/>
      <c r="C650" s="4">
        <v>4120</v>
      </c>
      <c r="D650" s="4" t="s">
        <v>104</v>
      </c>
      <c r="E650" s="6">
        <v>14</v>
      </c>
      <c r="F650" s="116"/>
      <c r="G650" s="30"/>
      <c r="H650" s="84"/>
      <c r="I650" s="54"/>
      <c r="J650" s="37"/>
      <c r="K650" s="90"/>
    </row>
    <row r="651" spans="1:11" ht="12.75">
      <c r="A651" s="165"/>
      <c r="B651" s="151"/>
      <c r="C651" s="4">
        <v>4127</v>
      </c>
      <c r="D651" s="4" t="s">
        <v>104</v>
      </c>
      <c r="E651" s="6">
        <v>1104.9</v>
      </c>
      <c r="F651" s="116">
        <f aca="true" t="shared" si="68" ref="F651:F663">(E651/$E$807)*100</f>
        <v>0.0038116928674375625</v>
      </c>
      <c r="G651" s="30"/>
      <c r="H651" s="84"/>
      <c r="I651" s="54">
        <f t="shared" si="65"/>
        <v>0</v>
      </c>
      <c r="J651" s="37"/>
      <c r="K651" s="90"/>
    </row>
    <row r="652" spans="1:11" ht="12.75">
      <c r="A652" s="165"/>
      <c r="B652" s="151"/>
      <c r="C652" s="4">
        <v>4137</v>
      </c>
      <c r="D652" s="4" t="s">
        <v>188</v>
      </c>
      <c r="E652" s="6">
        <v>10</v>
      </c>
      <c r="F652" s="116">
        <f t="shared" si="68"/>
        <v>3.4498080074554816E-05</v>
      </c>
      <c r="G652" s="30"/>
      <c r="H652" s="84"/>
      <c r="I652" s="54">
        <f t="shared" si="65"/>
        <v>0</v>
      </c>
      <c r="J652" s="37"/>
      <c r="K652" s="90"/>
    </row>
    <row r="653" spans="1:11" ht="12.75">
      <c r="A653" s="165"/>
      <c r="B653" s="151"/>
      <c r="C653" s="4">
        <v>4217</v>
      </c>
      <c r="D653" s="4" t="s">
        <v>73</v>
      </c>
      <c r="E653" s="6">
        <v>1858</v>
      </c>
      <c r="F653" s="116">
        <f t="shared" si="68"/>
        <v>0.006409743277852285</v>
      </c>
      <c r="G653" s="30"/>
      <c r="H653" s="84"/>
      <c r="I653" s="54">
        <f t="shared" si="65"/>
        <v>0</v>
      </c>
      <c r="J653" s="37"/>
      <c r="K653" s="90"/>
    </row>
    <row r="654" spans="1:11" ht="12.75">
      <c r="A654" s="165"/>
      <c r="B654" s="151"/>
      <c r="C654" s="4">
        <v>4267</v>
      </c>
      <c r="D654" s="4" t="s">
        <v>74</v>
      </c>
      <c r="E654" s="6">
        <v>1195.1</v>
      </c>
      <c r="F654" s="116">
        <f t="shared" si="68"/>
        <v>0.004122865549710046</v>
      </c>
      <c r="G654" s="30"/>
      <c r="H654" s="84"/>
      <c r="I654" s="54">
        <f t="shared" si="65"/>
        <v>0</v>
      </c>
      <c r="J654" s="37"/>
      <c r="K654" s="90"/>
    </row>
    <row r="655" spans="1:11" ht="12.75">
      <c r="A655" s="165"/>
      <c r="B655" s="151"/>
      <c r="C655" s="4">
        <v>4287</v>
      </c>
      <c r="D655" s="4" t="s">
        <v>89</v>
      </c>
      <c r="E655" s="6">
        <v>60</v>
      </c>
      <c r="F655" s="116">
        <f t="shared" si="68"/>
        <v>0.0002069884804473289</v>
      </c>
      <c r="G655" s="30"/>
      <c r="H655" s="84"/>
      <c r="I655" s="54"/>
      <c r="J655" s="37"/>
      <c r="K655" s="90"/>
    </row>
    <row r="656" spans="1:11" ht="12.75">
      <c r="A656" s="165"/>
      <c r="B656" s="151"/>
      <c r="C656" s="4">
        <v>4307</v>
      </c>
      <c r="D656" s="4" t="s">
        <v>86</v>
      </c>
      <c r="E656" s="6">
        <v>80861.76</v>
      </c>
      <c r="F656" s="116">
        <f t="shared" si="68"/>
        <v>0.27895754714494336</v>
      </c>
      <c r="G656" s="30"/>
      <c r="H656" s="84"/>
      <c r="I656" s="54">
        <f t="shared" si="65"/>
        <v>0</v>
      </c>
      <c r="J656" s="37"/>
      <c r="K656" s="90"/>
    </row>
    <row r="657" spans="1:11" ht="12.75">
      <c r="A657" s="165"/>
      <c r="B657" s="151"/>
      <c r="C657" s="4">
        <v>4309</v>
      </c>
      <c r="D657" s="4" t="s">
        <v>86</v>
      </c>
      <c r="E657" s="6">
        <v>4526.2</v>
      </c>
      <c r="F657" s="116">
        <f t="shared" si="68"/>
        <v>0.015614521003345002</v>
      </c>
      <c r="G657" s="30"/>
      <c r="H657" s="84"/>
      <c r="I657" s="54">
        <f t="shared" si="65"/>
        <v>0</v>
      </c>
      <c r="J657" s="37">
        <f>(G657/$G$807)*100</f>
        <v>0</v>
      </c>
      <c r="K657" s="90"/>
    </row>
    <row r="658" spans="1:11" ht="12.75" hidden="1">
      <c r="A658" s="165"/>
      <c r="B658" s="151"/>
      <c r="C658" s="4">
        <v>4357</v>
      </c>
      <c r="D658" s="4" t="s">
        <v>241</v>
      </c>
      <c r="E658" s="6"/>
      <c r="F658" s="116">
        <f t="shared" si="68"/>
        <v>0</v>
      </c>
      <c r="G658" s="30"/>
      <c r="H658" s="84"/>
      <c r="I658" s="54" t="e">
        <f t="shared" si="65"/>
        <v>#DIV/0!</v>
      </c>
      <c r="J658" s="37"/>
      <c r="K658" s="90"/>
    </row>
    <row r="659" spans="1:11" ht="33.75" hidden="1">
      <c r="A659" s="165"/>
      <c r="B659" s="151"/>
      <c r="C659" s="4">
        <v>4377</v>
      </c>
      <c r="D659" s="4" t="s">
        <v>298</v>
      </c>
      <c r="E659" s="6"/>
      <c r="F659" s="116">
        <f t="shared" si="68"/>
        <v>0</v>
      </c>
      <c r="G659" s="30"/>
      <c r="H659" s="84"/>
      <c r="I659" s="54" t="e">
        <f t="shared" si="65"/>
        <v>#DIV/0!</v>
      </c>
      <c r="J659" s="37">
        <f>(G659/$G$807)*100</f>
        <v>0</v>
      </c>
      <c r="K659" s="90"/>
    </row>
    <row r="660" spans="1:11" ht="22.5">
      <c r="A660" s="165"/>
      <c r="B660" s="151"/>
      <c r="C660" s="4">
        <v>4407</v>
      </c>
      <c r="D660" s="4" t="s">
        <v>243</v>
      </c>
      <c r="E660" s="6">
        <v>546.15</v>
      </c>
      <c r="F660" s="116">
        <f t="shared" si="68"/>
        <v>0.0018841126432718113</v>
      </c>
      <c r="G660" s="30"/>
      <c r="H660" s="84"/>
      <c r="I660" s="54">
        <f t="shared" si="65"/>
        <v>0</v>
      </c>
      <c r="J660" s="37">
        <f>(G660/$G$807)*100</f>
        <v>0</v>
      </c>
      <c r="K660" s="90"/>
    </row>
    <row r="661" spans="1:11" ht="22.5">
      <c r="A661" s="165"/>
      <c r="B661" s="151"/>
      <c r="C661" s="4">
        <v>4409</v>
      </c>
      <c r="D661" s="4" t="s">
        <v>243</v>
      </c>
      <c r="E661" s="6">
        <v>896.15</v>
      </c>
      <c r="F661" s="116">
        <f t="shared" si="68"/>
        <v>0.00309154544588123</v>
      </c>
      <c r="G661" s="30"/>
      <c r="H661" s="84"/>
      <c r="I661" s="54">
        <f t="shared" si="65"/>
        <v>0</v>
      </c>
      <c r="J661" s="37"/>
      <c r="K661" s="90"/>
    </row>
    <row r="662" spans="1:11" ht="14.25" customHeight="1">
      <c r="A662" s="165"/>
      <c r="B662" s="151"/>
      <c r="C662" s="4">
        <v>4447</v>
      </c>
      <c r="D662" s="4" t="s">
        <v>176</v>
      </c>
      <c r="E662" s="6">
        <v>1100</v>
      </c>
      <c r="F662" s="116">
        <f t="shared" si="68"/>
        <v>0.0037947888082010303</v>
      </c>
      <c r="G662" s="30"/>
      <c r="H662" s="84"/>
      <c r="I662" s="54">
        <f t="shared" si="65"/>
        <v>0</v>
      </c>
      <c r="J662" s="37"/>
      <c r="K662" s="90"/>
    </row>
    <row r="663" spans="1:11" s="13" customFormat="1" ht="21">
      <c r="A663" s="158">
        <v>854</v>
      </c>
      <c r="B663" s="3"/>
      <c r="C663" s="3"/>
      <c r="D663" s="3" t="s">
        <v>28</v>
      </c>
      <c r="E663" s="5">
        <f>E666+E676</f>
        <v>402505.35</v>
      </c>
      <c r="F663" s="116">
        <f t="shared" si="68"/>
        <v>1.3885661794736712</v>
      </c>
      <c r="G663" s="5">
        <f>G666+G676</f>
        <v>235595</v>
      </c>
      <c r="H663" s="5" t="e">
        <f>H666+H676+#REF!</f>
        <v>#REF!</v>
      </c>
      <c r="I663" s="54">
        <f t="shared" si="65"/>
        <v>58.532141249799544</v>
      </c>
      <c r="J663" s="37">
        <f aca="true" t="shared" si="69" ref="J663:J674">(G663/$G$807)*100</f>
        <v>0.9350408887492865</v>
      </c>
      <c r="K663" s="90"/>
    </row>
    <row r="664" spans="1:11" s="13" customFormat="1" ht="12.75">
      <c r="A664" s="165"/>
      <c r="B664" s="3"/>
      <c r="C664" s="3"/>
      <c r="D664" s="8" t="s">
        <v>227</v>
      </c>
      <c r="E664" s="6">
        <f>E667+E668+E669+E670+E671+E672+E673+E674+E677+E678</f>
        <v>402505.35</v>
      </c>
      <c r="F664" s="6" t="e">
        <f>F667+F668+F669+F670+F671+F672+#REF!+#REF!+F673+F674+F677+F678+#REF!+#REF!+#REF!+#REF!</f>
        <v>#REF!</v>
      </c>
      <c r="G664" s="6">
        <f>G667+G668+G669+G670+G671+G672+G673+G674+G677+G678</f>
        <v>235595</v>
      </c>
      <c r="H664" s="6" t="e">
        <f>H667+H668+H669+H670+H671+H672+#REF!+#REF!+H673+H674+H677+H678+#REF!+#REF!</f>
        <v>#REF!</v>
      </c>
      <c r="I664" s="54">
        <f t="shared" si="65"/>
        <v>58.532141249799544</v>
      </c>
      <c r="J664" s="37">
        <f t="shared" si="69"/>
        <v>0.9350408887492865</v>
      </c>
      <c r="K664" s="90"/>
    </row>
    <row r="665" spans="1:11" s="13" customFormat="1" ht="12.75">
      <c r="A665" s="165"/>
      <c r="B665" s="3"/>
      <c r="C665" s="3"/>
      <c r="D665" s="8" t="s">
        <v>226</v>
      </c>
      <c r="E665" s="5">
        <v>0</v>
      </c>
      <c r="F665" s="116">
        <f>(E665/$E$807)*100</f>
        <v>0</v>
      </c>
      <c r="G665" s="5">
        <v>0</v>
      </c>
      <c r="H665" s="85"/>
      <c r="I665" s="54"/>
      <c r="J665" s="37">
        <f t="shared" si="69"/>
        <v>0</v>
      </c>
      <c r="K665" s="90"/>
    </row>
    <row r="666" spans="1:11" ht="12.75">
      <c r="A666" s="165"/>
      <c r="B666" s="150">
        <v>85401</v>
      </c>
      <c r="C666" s="4"/>
      <c r="D666" s="3" t="s">
        <v>195</v>
      </c>
      <c r="E666" s="5">
        <f>E667+E669+E670+E671+E672+E673+E668+E674</f>
        <v>231403</v>
      </c>
      <c r="F666" s="5" t="e">
        <f>F667+F669+F670+F671+F672+#REF!+F673+F668+#REF!+F674+#REF!+#REF!</f>
        <v>#REF!</v>
      </c>
      <c r="G666" s="5">
        <f>G667+G669+G670+G671+G672+G673+G668+G674</f>
        <v>210595</v>
      </c>
      <c r="H666" s="5" t="e">
        <f>H667+H669+H670+H671+H672+#REF!+H673+H668+#REF!+H674+#REF!+#REF!</f>
        <v>#REF!</v>
      </c>
      <c r="I666" s="54">
        <f t="shared" si="65"/>
        <v>91.00789531682821</v>
      </c>
      <c r="J666" s="37">
        <f t="shared" si="69"/>
        <v>0.8358196734487403</v>
      </c>
      <c r="K666" s="90"/>
    </row>
    <row r="667" spans="1:11" ht="12.75">
      <c r="A667" s="165"/>
      <c r="B667" s="152"/>
      <c r="C667" s="4">
        <v>3020</v>
      </c>
      <c r="D667" s="4" t="s">
        <v>196</v>
      </c>
      <c r="E667" s="6">
        <v>12404</v>
      </c>
      <c r="F667" s="116">
        <f aca="true" t="shared" si="70" ref="F667:F707">(E667/$E$807)*100</f>
        <v>0.04279141852447779</v>
      </c>
      <c r="G667" s="30">
        <v>12508</v>
      </c>
      <c r="H667" s="84"/>
      <c r="I667" s="54">
        <f t="shared" si="65"/>
        <v>100.83843921315705</v>
      </c>
      <c r="J667" s="37">
        <f t="shared" si="69"/>
        <v>0.04964235843916923</v>
      </c>
      <c r="K667" s="90"/>
    </row>
    <row r="668" spans="1:11" ht="12.75">
      <c r="A668" s="165"/>
      <c r="B668" s="152"/>
      <c r="C668" s="4">
        <v>3110</v>
      </c>
      <c r="D668" s="4" t="s">
        <v>184</v>
      </c>
      <c r="E668" s="6"/>
      <c r="F668" s="116">
        <f t="shared" si="70"/>
        <v>0</v>
      </c>
      <c r="G668" s="30"/>
      <c r="H668" s="84"/>
      <c r="I668" s="54"/>
      <c r="J668" s="37">
        <f t="shared" si="69"/>
        <v>0</v>
      </c>
      <c r="K668" s="90"/>
    </row>
    <row r="669" spans="1:11" ht="12.75">
      <c r="A669" s="165"/>
      <c r="B669" s="152"/>
      <c r="C669" s="4">
        <v>4010</v>
      </c>
      <c r="D669" s="4" t="s">
        <v>185</v>
      </c>
      <c r="E669" s="6">
        <v>161000</v>
      </c>
      <c r="F669" s="116">
        <f t="shared" si="70"/>
        <v>0.5554190892003326</v>
      </c>
      <c r="G669" s="30">
        <v>141680</v>
      </c>
      <c r="H669" s="84"/>
      <c r="I669" s="54">
        <f>(G669/E669)*100</f>
        <v>88</v>
      </c>
      <c r="J669" s="37">
        <f t="shared" si="69"/>
        <v>0.5623064713512549</v>
      </c>
      <c r="K669" s="90"/>
    </row>
    <row r="670" spans="1:11" ht="12.75">
      <c r="A670" s="165"/>
      <c r="B670" s="152"/>
      <c r="C670" s="4">
        <v>4040</v>
      </c>
      <c r="D670" s="4" t="s">
        <v>95</v>
      </c>
      <c r="E670" s="6">
        <v>13261</v>
      </c>
      <c r="F670" s="116">
        <f t="shared" si="70"/>
        <v>0.04574790398686714</v>
      </c>
      <c r="G670" s="30">
        <v>13070</v>
      </c>
      <c r="H670" s="84"/>
      <c r="I670" s="54">
        <f>(G670/E670)*100</f>
        <v>98.55968629816756</v>
      </c>
      <c r="J670" s="37">
        <f t="shared" si="69"/>
        <v>0.05187285135912551</v>
      </c>
      <c r="K670" s="90"/>
    </row>
    <row r="671" spans="1:11" ht="12.75">
      <c r="A671" s="165"/>
      <c r="B671" s="152"/>
      <c r="C671" s="4">
        <v>4110</v>
      </c>
      <c r="D671" s="4" t="s">
        <v>186</v>
      </c>
      <c r="E671" s="6">
        <v>33140</v>
      </c>
      <c r="F671" s="116">
        <f t="shared" si="70"/>
        <v>0.11432663736707467</v>
      </c>
      <c r="G671" s="30">
        <v>30367</v>
      </c>
      <c r="H671" s="84"/>
      <c r="I671" s="54">
        <f>(G671/E671)*100</f>
        <v>91.63246831623417</v>
      </c>
      <c r="J671" s="37">
        <f t="shared" si="69"/>
        <v>0.12052202580126736</v>
      </c>
      <c r="K671" s="90"/>
    </row>
    <row r="672" spans="1:11" ht="12.75">
      <c r="A672" s="165"/>
      <c r="B672" s="152"/>
      <c r="C672" s="4">
        <v>4120</v>
      </c>
      <c r="D672" s="4" t="s">
        <v>104</v>
      </c>
      <c r="E672" s="6">
        <v>2958</v>
      </c>
      <c r="F672" s="116">
        <f t="shared" si="70"/>
        <v>0.010204532086053316</v>
      </c>
      <c r="G672" s="30">
        <v>4330</v>
      </c>
      <c r="H672" s="84"/>
      <c r="I672" s="54">
        <f>(G672/E672)*100</f>
        <v>146.38269100743747</v>
      </c>
      <c r="J672" s="37">
        <f t="shared" si="69"/>
        <v>0.01718511449005459</v>
      </c>
      <c r="K672" s="90"/>
    </row>
    <row r="673" spans="1:11" ht="15" customHeight="1">
      <c r="A673" s="165"/>
      <c r="B673" s="152"/>
      <c r="C673" s="4">
        <v>4440</v>
      </c>
      <c r="D673" s="4" t="s">
        <v>197</v>
      </c>
      <c r="E673" s="6">
        <v>8640</v>
      </c>
      <c r="F673" s="116">
        <f t="shared" si="70"/>
        <v>0.02980634118441536</v>
      </c>
      <c r="G673" s="30">
        <v>8640</v>
      </c>
      <c r="H673" s="84"/>
      <c r="I673" s="54">
        <f>(G673/E673)*100</f>
        <v>100</v>
      </c>
      <c r="J673" s="37">
        <f t="shared" si="69"/>
        <v>0.03429085200786874</v>
      </c>
      <c r="K673" s="90"/>
    </row>
    <row r="674" spans="1:11" ht="22.5" hidden="1">
      <c r="A674" s="165"/>
      <c r="B674" s="156"/>
      <c r="C674" s="4">
        <v>4750</v>
      </c>
      <c r="D674" s="4" t="s">
        <v>177</v>
      </c>
      <c r="E674" s="6"/>
      <c r="F674" s="116">
        <f t="shared" si="70"/>
        <v>0</v>
      </c>
      <c r="G674" s="30"/>
      <c r="H674" s="84"/>
      <c r="I674" s="54"/>
      <c r="J674" s="37">
        <f t="shared" si="69"/>
        <v>0</v>
      </c>
      <c r="K674" s="90"/>
    </row>
    <row r="675" spans="1:11" ht="22.5">
      <c r="A675" s="165"/>
      <c r="B675" s="110"/>
      <c r="C675" s="4"/>
      <c r="D675" s="4" t="s">
        <v>351</v>
      </c>
      <c r="E675" s="6"/>
      <c r="F675" s="116">
        <f t="shared" si="70"/>
        <v>0</v>
      </c>
      <c r="G675" s="30"/>
      <c r="H675" s="84"/>
      <c r="I675" s="54"/>
      <c r="J675" s="37"/>
      <c r="K675" s="90"/>
    </row>
    <row r="676" spans="1:11" ht="12.75">
      <c r="A676" s="165"/>
      <c r="B676" s="154">
        <v>85415</v>
      </c>
      <c r="C676" s="4"/>
      <c r="D676" s="3" t="s">
        <v>29</v>
      </c>
      <c r="E676" s="5">
        <f>E677+E678</f>
        <v>171102.35</v>
      </c>
      <c r="F676" s="116">
        <f t="shared" si="70"/>
        <v>0.5902702571244505</v>
      </c>
      <c r="G676" s="5">
        <f>G677+G678</f>
        <v>25000</v>
      </c>
      <c r="H676" s="5">
        <f>H677+H678</f>
        <v>0</v>
      </c>
      <c r="I676" s="54">
        <f aca="true" t="shared" si="71" ref="I676:I727">(G676/E676)*100</f>
        <v>14.611137719616357</v>
      </c>
      <c r="J676" s="37">
        <f>(G676/$G$807)*100</f>
        <v>0.0992212153005461</v>
      </c>
      <c r="K676" s="90"/>
    </row>
    <row r="677" spans="1:11" ht="12.75">
      <c r="A677" s="165"/>
      <c r="B677" s="154"/>
      <c r="C677" s="4">
        <v>3240</v>
      </c>
      <c r="D677" s="4" t="s">
        <v>198</v>
      </c>
      <c r="E677" s="6">
        <v>153180.35</v>
      </c>
      <c r="F677" s="116">
        <f t="shared" si="70"/>
        <v>0.5284427980148334</v>
      </c>
      <c r="G677" s="30">
        <v>25000</v>
      </c>
      <c r="H677" s="84"/>
      <c r="I677" s="54">
        <f t="shared" si="71"/>
        <v>16.32063120367593</v>
      </c>
      <c r="J677" s="37">
        <f>(G677/$G$807)*100</f>
        <v>0.0992212153005461</v>
      </c>
      <c r="K677" s="90"/>
    </row>
    <row r="678" spans="1:11" ht="12.75">
      <c r="A678" s="165"/>
      <c r="B678" s="154"/>
      <c r="C678" s="4">
        <v>3260</v>
      </c>
      <c r="D678" s="4" t="s">
        <v>220</v>
      </c>
      <c r="E678" s="6">
        <v>17922</v>
      </c>
      <c r="F678" s="116">
        <f t="shared" si="70"/>
        <v>0.06182745910961715</v>
      </c>
      <c r="G678" s="30"/>
      <c r="H678" s="84"/>
      <c r="I678" s="54">
        <f t="shared" si="71"/>
        <v>0</v>
      </c>
      <c r="J678" s="37">
        <f>(G678/$G$807)*100</f>
        <v>0</v>
      </c>
      <c r="K678" s="90"/>
    </row>
    <row r="679" spans="1:11" ht="27" customHeight="1">
      <c r="A679" s="158">
        <v>900</v>
      </c>
      <c r="B679" s="3"/>
      <c r="C679" s="4"/>
      <c r="D679" s="3" t="s">
        <v>215</v>
      </c>
      <c r="E679" s="5">
        <f>E686+E697+E703+E705+E708+E716+E713</f>
        <v>2517573.27</v>
      </c>
      <c r="F679" s="116">
        <f t="shared" si="70"/>
        <v>8.685144426201882</v>
      </c>
      <c r="G679" s="5">
        <f>G686+G697+G703+G705+G708+G716+G713</f>
        <v>2473936.01</v>
      </c>
      <c r="H679" s="5"/>
      <c r="I679" s="54">
        <f t="shared" si="71"/>
        <v>98.26669354493106</v>
      </c>
      <c r="J679" s="37">
        <f aca="true" t="shared" si="72" ref="J679:J686">(G679/$G$807)*100</f>
        <v>9.818677499519358</v>
      </c>
      <c r="K679" s="90"/>
    </row>
    <row r="680" spans="1:11" s="16" customFormat="1" ht="12.75">
      <c r="A680" s="165"/>
      <c r="B680" s="4"/>
      <c r="C680" s="4"/>
      <c r="D680" s="8" t="s">
        <v>227</v>
      </c>
      <c r="E680" s="6">
        <f>E679-E681-E683</f>
        <v>1660248.25</v>
      </c>
      <c r="F680" s="116">
        <f t="shared" si="70"/>
        <v>5.72753770721395</v>
      </c>
      <c r="G680" s="6">
        <f>G679-G681-G683</f>
        <v>1673749.9999999998</v>
      </c>
      <c r="H680" s="6"/>
      <c r="I680" s="54">
        <f t="shared" si="71"/>
        <v>100.81323681563885</v>
      </c>
      <c r="J680" s="37">
        <f t="shared" si="72"/>
        <v>6.642860364371561</v>
      </c>
      <c r="K680" s="90"/>
    </row>
    <row r="681" spans="1:11" s="16" customFormat="1" ht="12.75">
      <c r="A681" s="165"/>
      <c r="B681" s="4"/>
      <c r="C681" s="4"/>
      <c r="D681" s="8" t="s">
        <v>226</v>
      </c>
      <c r="E681" s="6">
        <f>E691+E693+E695+E701+E702+E723+E724+E712+E720</f>
        <v>784325.02</v>
      </c>
      <c r="F681" s="116">
        <f t="shared" si="70"/>
        <v>2.7057707344436808</v>
      </c>
      <c r="G681" s="6">
        <f>G691+G693+G695+G701+G702+G723+G724+G712+G720</f>
        <v>800186.01</v>
      </c>
      <c r="H681" s="6" t="e">
        <f>H691+H693+H695+#REF!+H701+H702</f>
        <v>#REF!</v>
      </c>
      <c r="I681" s="54">
        <f t="shared" si="71"/>
        <v>102.02224710363059</v>
      </c>
      <c r="J681" s="37">
        <f t="shared" si="72"/>
        <v>3.175817135147798</v>
      </c>
      <c r="K681" s="90"/>
    </row>
    <row r="682" spans="1:11" s="16" customFormat="1" ht="12.75">
      <c r="A682" s="165"/>
      <c r="B682" s="4"/>
      <c r="C682" s="4"/>
      <c r="D682" s="8" t="s">
        <v>391</v>
      </c>
      <c r="E682" s="6">
        <f>E693+E695+E723+E724</f>
        <v>770116.77</v>
      </c>
      <c r="F682" s="116">
        <f t="shared" si="70"/>
        <v>2.656754999821752</v>
      </c>
      <c r="G682" s="6">
        <f>G693+G695+G723+G724</f>
        <v>238516.01</v>
      </c>
      <c r="H682" s="6"/>
      <c r="I682" s="54">
        <f t="shared" si="71"/>
        <v>30.971408400832512</v>
      </c>
      <c r="J682" s="37"/>
      <c r="K682" s="90"/>
    </row>
    <row r="683" spans="1:11" s="16" customFormat="1" ht="12.75">
      <c r="A683" s="165"/>
      <c r="B683" s="4"/>
      <c r="C683" s="4"/>
      <c r="D683" s="8" t="s">
        <v>230</v>
      </c>
      <c r="E683" s="6">
        <f>E700</f>
        <v>73000</v>
      </c>
      <c r="F683" s="116">
        <f t="shared" si="70"/>
        <v>0.25183598454425016</v>
      </c>
      <c r="G683" s="6">
        <f>G700</f>
        <v>0</v>
      </c>
      <c r="H683" s="6">
        <f>H700</f>
        <v>0</v>
      </c>
      <c r="I683" s="54"/>
      <c r="J683" s="37">
        <f t="shared" si="72"/>
        <v>0</v>
      </c>
      <c r="K683" s="90"/>
    </row>
    <row r="684" spans="1:11" s="16" customFormat="1" ht="12.75">
      <c r="A684" s="165"/>
      <c r="B684" s="4"/>
      <c r="C684" s="4"/>
      <c r="D684" s="8" t="s">
        <v>392</v>
      </c>
      <c r="E684" s="28">
        <f>E680+E681+E683</f>
        <v>2517573.27</v>
      </c>
      <c r="F684" s="116">
        <f t="shared" si="70"/>
        <v>8.685144426201882</v>
      </c>
      <c r="G684" s="28">
        <f>G680+G681+G683</f>
        <v>2473936.01</v>
      </c>
      <c r="H684" s="28" t="e">
        <f>H680+H681+H683</f>
        <v>#REF!</v>
      </c>
      <c r="I684" s="54">
        <f t="shared" si="71"/>
        <v>98.26669354493106</v>
      </c>
      <c r="J684" s="37">
        <f t="shared" si="72"/>
        <v>9.818677499519358</v>
      </c>
      <c r="K684" s="90"/>
    </row>
    <row r="685" spans="1:11" s="16" customFormat="1" ht="12.75">
      <c r="A685" s="165"/>
      <c r="B685" s="4"/>
      <c r="C685" s="4"/>
      <c r="D685" s="8" t="s">
        <v>247</v>
      </c>
      <c r="E685" s="6"/>
      <c r="F685" s="116">
        <f t="shared" si="70"/>
        <v>0</v>
      </c>
      <c r="G685" s="6"/>
      <c r="H685" s="6"/>
      <c r="I685" s="54"/>
      <c r="J685" s="37">
        <f t="shared" si="72"/>
        <v>0</v>
      </c>
      <c r="K685" s="90"/>
    </row>
    <row r="686" spans="1:11" ht="12.75">
      <c r="A686" s="165"/>
      <c r="B686" s="150">
        <v>90001</v>
      </c>
      <c r="C686" s="3"/>
      <c r="D686" s="3" t="s">
        <v>30</v>
      </c>
      <c r="E686" s="5">
        <f>E689+E691+E693+E695+E687+E690+E688</f>
        <v>1069044.02</v>
      </c>
      <c r="F686" s="116">
        <f t="shared" si="70"/>
        <v>3.687996620518398</v>
      </c>
      <c r="G686" s="5">
        <f>G689+G691+G693+G695+G687+G690+G688</f>
        <v>795170</v>
      </c>
      <c r="H686" s="5" t="e">
        <f>H689+H691+H693+H695+H687+H690+H688+#REF!+#REF!+#REF!</f>
        <v>#REF!</v>
      </c>
      <c r="I686" s="54">
        <f t="shared" si="71"/>
        <v>74.3814085410627</v>
      </c>
      <c r="J686" s="37">
        <f t="shared" si="72"/>
        <v>3.15590935082141</v>
      </c>
      <c r="K686" s="90"/>
    </row>
    <row r="687" spans="1:11" ht="12.75">
      <c r="A687" s="165"/>
      <c r="B687" s="151"/>
      <c r="C687" s="4">
        <v>4210</v>
      </c>
      <c r="D687" s="4" t="s">
        <v>73</v>
      </c>
      <c r="E687" s="6">
        <v>1500</v>
      </c>
      <c r="F687" s="116">
        <f t="shared" si="70"/>
        <v>0.0051747120111832225</v>
      </c>
      <c r="G687" s="30">
        <v>1500</v>
      </c>
      <c r="H687" s="84"/>
      <c r="I687" s="54">
        <f t="shared" si="71"/>
        <v>100</v>
      </c>
      <c r="J687" s="37">
        <f aca="true" t="shared" si="73" ref="J687:J693">(G687/$G$807)*100</f>
        <v>0.005953272918032767</v>
      </c>
      <c r="K687" s="90"/>
    </row>
    <row r="688" spans="1:11" ht="12.75">
      <c r="A688" s="165"/>
      <c r="B688" s="151"/>
      <c r="C688" s="4">
        <v>4260</v>
      </c>
      <c r="D688" s="4" t="s">
        <v>74</v>
      </c>
      <c r="E688" s="6">
        <v>280000</v>
      </c>
      <c r="F688" s="116">
        <f t="shared" si="70"/>
        <v>0.9659462420875349</v>
      </c>
      <c r="G688" s="30">
        <v>290000</v>
      </c>
      <c r="H688" s="84"/>
      <c r="I688" s="54">
        <f t="shared" si="71"/>
        <v>103.57142857142858</v>
      </c>
      <c r="J688" s="37">
        <f t="shared" si="73"/>
        <v>1.150966097486335</v>
      </c>
      <c r="K688" s="90"/>
    </row>
    <row r="689" spans="1:11" ht="12.75">
      <c r="A689" s="165"/>
      <c r="B689" s="151"/>
      <c r="C689" s="4">
        <v>4300</v>
      </c>
      <c r="D689" s="4" t="s">
        <v>86</v>
      </c>
      <c r="E689" s="6">
        <v>1500</v>
      </c>
      <c r="F689" s="116">
        <f t="shared" si="70"/>
        <v>0.0051747120111832225</v>
      </c>
      <c r="G689" s="30">
        <v>2000</v>
      </c>
      <c r="H689" s="84"/>
      <c r="I689" s="54">
        <f t="shared" si="71"/>
        <v>133.33333333333331</v>
      </c>
      <c r="J689" s="37">
        <f t="shared" si="73"/>
        <v>0.007937697224043689</v>
      </c>
      <c r="K689" s="90"/>
    </row>
    <row r="690" spans="1:11" ht="26.25" customHeight="1">
      <c r="A690" s="165"/>
      <c r="B690" s="151"/>
      <c r="C690" s="4">
        <v>4520</v>
      </c>
      <c r="D690" s="4" t="s">
        <v>101</v>
      </c>
      <c r="E690" s="6">
        <v>16427.25</v>
      </c>
      <c r="F690" s="116">
        <f t="shared" si="70"/>
        <v>0.056670858590473064</v>
      </c>
      <c r="G690" s="30">
        <v>17000</v>
      </c>
      <c r="H690" s="84"/>
      <c r="I690" s="54">
        <f t="shared" si="71"/>
        <v>103.48658479051576</v>
      </c>
      <c r="J690" s="37">
        <f t="shared" si="73"/>
        <v>0.06747042640437136</v>
      </c>
      <c r="K690" s="90"/>
    </row>
    <row r="691" spans="1:11" ht="22.5">
      <c r="A691" s="165"/>
      <c r="B691" s="152"/>
      <c r="C691" s="49">
        <v>6050</v>
      </c>
      <c r="D691" s="4" t="s">
        <v>58</v>
      </c>
      <c r="E691" s="6"/>
      <c r="F691" s="116">
        <f t="shared" si="70"/>
        <v>0</v>
      </c>
      <c r="G691" s="26">
        <v>404670</v>
      </c>
      <c r="H691" s="6"/>
      <c r="I691" s="54"/>
      <c r="J691" s="37">
        <f t="shared" si="73"/>
        <v>1.60607396782688</v>
      </c>
      <c r="K691" s="90"/>
    </row>
    <row r="692" spans="1:11" ht="22.5">
      <c r="A692" s="165"/>
      <c r="B692" s="152"/>
      <c r="C692" s="49"/>
      <c r="D692" s="4" t="s">
        <v>381</v>
      </c>
      <c r="E692" s="6">
        <v>500</v>
      </c>
      <c r="F692" s="116">
        <f t="shared" si="70"/>
        <v>0.0017249040037277407</v>
      </c>
      <c r="G692" s="26">
        <v>404670</v>
      </c>
      <c r="H692" s="6"/>
      <c r="I692" s="54"/>
      <c r="J692" s="37">
        <f t="shared" si="73"/>
        <v>1.60607396782688</v>
      </c>
      <c r="K692" s="90"/>
    </row>
    <row r="693" spans="1:11" ht="26.25" customHeight="1">
      <c r="A693" s="165"/>
      <c r="B693" s="152"/>
      <c r="C693" s="168">
        <v>6057</v>
      </c>
      <c r="D693" s="4" t="s">
        <v>59</v>
      </c>
      <c r="E693" s="6">
        <v>220616.77</v>
      </c>
      <c r="F693" s="116">
        <f t="shared" si="70"/>
        <v>0.7610854997249643</v>
      </c>
      <c r="G693" s="6">
        <v>48780</v>
      </c>
      <c r="H693" s="6"/>
      <c r="I693" s="54">
        <f t="shared" si="71"/>
        <v>22.11073981365968</v>
      </c>
      <c r="J693" s="37">
        <f t="shared" si="73"/>
        <v>0.19360043529442558</v>
      </c>
      <c r="K693" s="90"/>
    </row>
    <row r="694" spans="1:11" ht="13.5" customHeight="1">
      <c r="A694" s="165"/>
      <c r="B694" s="152"/>
      <c r="C694" s="152"/>
      <c r="D694" s="4" t="s">
        <v>382</v>
      </c>
      <c r="E694" s="6"/>
      <c r="F694" s="116">
        <f t="shared" si="70"/>
        <v>0</v>
      </c>
      <c r="G694" s="6">
        <v>48780</v>
      </c>
      <c r="H694" s="61"/>
      <c r="I694" s="54"/>
      <c r="J694" s="37"/>
      <c r="K694" s="90"/>
    </row>
    <row r="695" spans="1:11" ht="25.5" customHeight="1">
      <c r="A695" s="165"/>
      <c r="B695" s="152"/>
      <c r="C695" s="168" t="s">
        <v>36</v>
      </c>
      <c r="D695" s="4" t="s">
        <v>60</v>
      </c>
      <c r="E695" s="6">
        <v>549000</v>
      </c>
      <c r="F695" s="116">
        <f t="shared" si="70"/>
        <v>1.8939445960930594</v>
      </c>
      <c r="G695" s="6">
        <v>31220</v>
      </c>
      <c r="H695" s="6"/>
      <c r="I695" s="54">
        <f t="shared" si="71"/>
        <v>5.686703096539162</v>
      </c>
      <c r="J695" s="37">
        <f>(G695/$G$807)*100</f>
        <v>0.12390745366732199</v>
      </c>
      <c r="K695" s="90"/>
    </row>
    <row r="696" spans="1:11" ht="12.75" customHeight="1">
      <c r="A696" s="165"/>
      <c r="B696" s="152"/>
      <c r="C696" s="152"/>
      <c r="D696" s="4" t="s">
        <v>382</v>
      </c>
      <c r="E696" s="28">
        <v>1000</v>
      </c>
      <c r="F696" s="116">
        <f t="shared" si="70"/>
        <v>0.0034498080074554815</v>
      </c>
      <c r="G696" s="28">
        <v>31220</v>
      </c>
      <c r="H696" s="119"/>
      <c r="I696" s="54"/>
      <c r="J696" s="37"/>
      <c r="K696" s="90"/>
    </row>
    <row r="697" spans="1:11" ht="12.75">
      <c r="A697" s="165"/>
      <c r="B697" s="150" t="s">
        <v>199</v>
      </c>
      <c r="C697" s="3"/>
      <c r="D697" s="3" t="s">
        <v>200</v>
      </c>
      <c r="E697" s="5">
        <f>E698+E699+E700+E701+E702</f>
        <v>924658.4600000001</v>
      </c>
      <c r="F697" s="116">
        <f t="shared" si="70"/>
        <v>3.1898941594694543</v>
      </c>
      <c r="G697" s="5">
        <f>G698+G699+G700+G701+G702</f>
        <v>900000</v>
      </c>
      <c r="H697" s="5">
        <f>H698+H699+H700+H701+H702</f>
        <v>0</v>
      </c>
      <c r="I697" s="54">
        <f t="shared" si="71"/>
        <v>97.33323588473954</v>
      </c>
      <c r="J697" s="37">
        <f aca="true" t="shared" si="74" ref="J697:J706">(G697/$G$807)*100</f>
        <v>3.57196375081966</v>
      </c>
      <c r="K697" s="90"/>
    </row>
    <row r="698" spans="1:11" ht="12.75">
      <c r="A698" s="165"/>
      <c r="B698" s="151"/>
      <c r="C698" s="4" t="s">
        <v>99</v>
      </c>
      <c r="D698" s="4" t="s">
        <v>106</v>
      </c>
      <c r="E698" s="6">
        <v>23000</v>
      </c>
      <c r="F698" s="116">
        <f t="shared" si="70"/>
        <v>0.07934558417147608</v>
      </c>
      <c r="G698" s="30">
        <v>5000</v>
      </c>
      <c r="H698" s="84"/>
      <c r="I698" s="54">
        <f t="shared" si="71"/>
        <v>21.73913043478261</v>
      </c>
      <c r="J698" s="37">
        <f t="shared" si="74"/>
        <v>0.019844243060109224</v>
      </c>
      <c r="K698" s="90"/>
    </row>
    <row r="699" spans="1:11" ht="12.75">
      <c r="A699" s="165"/>
      <c r="B699" s="151"/>
      <c r="C699" s="4" t="s">
        <v>77</v>
      </c>
      <c r="D699" s="4" t="s">
        <v>86</v>
      </c>
      <c r="E699" s="6">
        <v>814960.31</v>
      </c>
      <c r="F699" s="116">
        <f t="shared" si="70"/>
        <v>2.811456603196402</v>
      </c>
      <c r="G699" s="30">
        <v>800000</v>
      </c>
      <c r="H699" s="84"/>
      <c r="I699" s="54">
        <f t="shared" si="71"/>
        <v>98.16428974314098</v>
      </c>
      <c r="J699" s="37">
        <f t="shared" si="74"/>
        <v>3.1750788896174753</v>
      </c>
      <c r="K699" s="90"/>
    </row>
    <row r="700" spans="1:11" ht="24.75" customHeight="1">
      <c r="A700" s="165"/>
      <c r="B700" s="151"/>
      <c r="C700" s="4">
        <v>6010</v>
      </c>
      <c r="D700" s="4" t="s">
        <v>259</v>
      </c>
      <c r="E700" s="6">
        <v>73000</v>
      </c>
      <c r="F700" s="116">
        <f t="shared" si="70"/>
        <v>0.25183598454425016</v>
      </c>
      <c r="G700" s="6"/>
      <c r="H700" s="26"/>
      <c r="I700" s="54"/>
      <c r="J700" s="37">
        <f t="shared" si="74"/>
        <v>0</v>
      </c>
      <c r="K700" s="90"/>
    </row>
    <row r="701" spans="1:11" ht="10.5" customHeight="1">
      <c r="A701" s="165"/>
      <c r="B701" s="153"/>
      <c r="C701" s="4">
        <v>6050</v>
      </c>
      <c r="D701" s="4" t="s">
        <v>69</v>
      </c>
      <c r="E701" s="6">
        <v>13198.15</v>
      </c>
      <c r="F701" s="116">
        <f t="shared" si="70"/>
        <v>0.04553108355359857</v>
      </c>
      <c r="G701" s="6">
        <v>20000</v>
      </c>
      <c r="H701" s="26"/>
      <c r="I701" s="54">
        <f t="shared" si="71"/>
        <v>151.5363895697503</v>
      </c>
      <c r="J701" s="37">
        <f t="shared" si="74"/>
        <v>0.0793769722404369</v>
      </c>
      <c r="K701" s="90"/>
    </row>
    <row r="702" spans="1:11" ht="24.75" customHeight="1">
      <c r="A702" s="165"/>
      <c r="B702" s="149"/>
      <c r="C702" s="4">
        <v>6060</v>
      </c>
      <c r="D702" s="4" t="s">
        <v>352</v>
      </c>
      <c r="E702" s="6">
        <v>500</v>
      </c>
      <c r="F702" s="116">
        <f t="shared" si="70"/>
        <v>0.0017249040037277407</v>
      </c>
      <c r="G702" s="6">
        <v>75000</v>
      </c>
      <c r="H702" s="26"/>
      <c r="I702" s="54">
        <f t="shared" si="71"/>
        <v>15000</v>
      </c>
      <c r="J702" s="37"/>
      <c r="K702" s="90"/>
    </row>
    <row r="703" spans="1:11" ht="12.75">
      <c r="A703" s="165"/>
      <c r="B703" s="150" t="s">
        <v>61</v>
      </c>
      <c r="C703" s="3"/>
      <c r="D703" s="3" t="s">
        <v>62</v>
      </c>
      <c r="E703" s="5">
        <f>E704</f>
        <v>215000</v>
      </c>
      <c r="F703" s="116">
        <f t="shared" si="70"/>
        <v>0.7417087216029286</v>
      </c>
      <c r="G703" s="5">
        <f>G704</f>
        <v>215000</v>
      </c>
      <c r="H703" s="5">
        <f>H704</f>
        <v>0</v>
      </c>
      <c r="I703" s="54">
        <f t="shared" si="71"/>
        <v>100</v>
      </c>
      <c r="J703" s="37">
        <f t="shared" si="74"/>
        <v>0.8533024515846966</v>
      </c>
      <c r="K703" s="90"/>
    </row>
    <row r="704" spans="1:11" ht="12.75">
      <c r="A704" s="165"/>
      <c r="B704" s="151"/>
      <c r="C704" s="4" t="s">
        <v>77</v>
      </c>
      <c r="D704" s="4" t="s">
        <v>86</v>
      </c>
      <c r="E704" s="6">
        <v>215000</v>
      </c>
      <c r="F704" s="116">
        <f t="shared" si="70"/>
        <v>0.7417087216029286</v>
      </c>
      <c r="G704" s="30">
        <v>215000</v>
      </c>
      <c r="H704" s="84"/>
      <c r="I704" s="54">
        <f t="shared" si="71"/>
        <v>100</v>
      </c>
      <c r="J704" s="37">
        <f t="shared" si="74"/>
        <v>0.8533024515846966</v>
      </c>
      <c r="K704" s="90"/>
    </row>
    <row r="705" spans="1:11" ht="14.25" customHeight="1">
      <c r="A705" s="165"/>
      <c r="B705" s="150" t="s">
        <v>63</v>
      </c>
      <c r="C705" s="3"/>
      <c r="D705" s="3" t="s">
        <v>64</v>
      </c>
      <c r="E705" s="5">
        <f>E706+E707</f>
        <v>77485.29</v>
      </c>
      <c r="F705" s="116">
        <f t="shared" si="70"/>
        <v>0.26730937390201015</v>
      </c>
      <c r="G705" s="5">
        <f>G706+G707</f>
        <v>86600</v>
      </c>
      <c r="H705" s="5">
        <f>H706+H707</f>
        <v>0</v>
      </c>
      <c r="I705" s="54">
        <f t="shared" si="71"/>
        <v>111.76314885057539</v>
      </c>
      <c r="J705" s="37">
        <f t="shared" si="74"/>
        <v>0.34370228980109174</v>
      </c>
      <c r="K705" s="90"/>
    </row>
    <row r="706" spans="1:11" ht="12.75">
      <c r="A706" s="165"/>
      <c r="B706" s="151"/>
      <c r="C706" s="4" t="s">
        <v>99</v>
      </c>
      <c r="D706" s="4" t="s">
        <v>106</v>
      </c>
      <c r="E706" s="6">
        <v>2486.53</v>
      </c>
      <c r="F706" s="116">
        <f t="shared" si="70"/>
        <v>0.00857805110477828</v>
      </c>
      <c r="G706" s="30">
        <v>6600</v>
      </c>
      <c r="H706" s="84"/>
      <c r="I706" s="54">
        <f t="shared" si="71"/>
        <v>265.43013758128797</v>
      </c>
      <c r="J706" s="37">
        <f t="shared" si="74"/>
        <v>0.02619440083934417</v>
      </c>
      <c r="K706" s="90"/>
    </row>
    <row r="707" spans="1:11" ht="12.75">
      <c r="A707" s="165"/>
      <c r="B707" s="151"/>
      <c r="C707" s="4" t="s">
        <v>77</v>
      </c>
      <c r="D707" s="4" t="s">
        <v>201</v>
      </c>
      <c r="E707" s="6">
        <v>74998.76</v>
      </c>
      <c r="F707" s="116">
        <f t="shared" si="70"/>
        <v>0.2587313227972319</v>
      </c>
      <c r="G707" s="30">
        <v>80000</v>
      </c>
      <c r="H707" s="84"/>
      <c r="I707" s="54">
        <f t="shared" si="71"/>
        <v>106.66843025138016</v>
      </c>
      <c r="J707" s="37">
        <f>(G707/$G$807)*100</f>
        <v>0.3175078889617476</v>
      </c>
      <c r="K707" s="90"/>
    </row>
    <row r="708" spans="1:11" ht="12.75">
      <c r="A708" s="165"/>
      <c r="B708" s="150">
        <v>90015</v>
      </c>
      <c r="C708" s="3"/>
      <c r="D708" s="3" t="s">
        <v>65</v>
      </c>
      <c r="E708" s="5">
        <f>E710+E711+E709+E712</f>
        <v>142010.1</v>
      </c>
      <c r="F708" s="5">
        <f>F710+F711+F709+F712</f>
        <v>0.4760735050288565</v>
      </c>
      <c r="G708" s="5">
        <f>G710+G711+G709+G712</f>
        <v>162000</v>
      </c>
      <c r="H708" s="5"/>
      <c r="I708" s="54">
        <f t="shared" si="71"/>
        <v>114.07639315795144</v>
      </c>
      <c r="J708" s="37">
        <f>(G708/$G$807)*100</f>
        <v>0.6429534751475388</v>
      </c>
      <c r="K708" s="90"/>
    </row>
    <row r="709" spans="1:11" s="128" customFormat="1" ht="12.75">
      <c r="A709" s="165"/>
      <c r="B709" s="151"/>
      <c r="C709" s="4">
        <v>4210</v>
      </c>
      <c r="D709" s="4" t="s">
        <v>73</v>
      </c>
      <c r="E709" s="6">
        <v>4000</v>
      </c>
      <c r="F709" s="126"/>
      <c r="G709" s="6">
        <v>3000</v>
      </c>
      <c r="H709" s="61"/>
      <c r="I709" s="54"/>
      <c r="J709" s="37"/>
      <c r="K709" s="127"/>
    </row>
    <row r="710" spans="1:11" ht="12.75">
      <c r="A710" s="165"/>
      <c r="B710" s="151"/>
      <c r="C710" s="4" t="s">
        <v>107</v>
      </c>
      <c r="D710" s="4" t="s">
        <v>202</v>
      </c>
      <c r="E710" s="6">
        <v>130000</v>
      </c>
      <c r="F710" s="116">
        <f>(E710/$E$807)*100</f>
        <v>0.44847504096921265</v>
      </c>
      <c r="G710" s="30">
        <v>150000</v>
      </c>
      <c r="H710" s="84"/>
      <c r="I710" s="54">
        <f t="shared" si="71"/>
        <v>115.38461538461537</v>
      </c>
      <c r="J710" s="37">
        <f>(G710/$G$807)*100</f>
        <v>0.5953272918032767</v>
      </c>
      <c r="K710" s="90"/>
    </row>
    <row r="711" spans="1:11" ht="12.75">
      <c r="A711" s="165"/>
      <c r="B711" s="151"/>
      <c r="C711" s="4" t="s">
        <v>77</v>
      </c>
      <c r="D711" s="4" t="s">
        <v>78</v>
      </c>
      <c r="E711" s="6">
        <v>8000</v>
      </c>
      <c r="F711" s="116">
        <f>(E711/$E$807)*100</f>
        <v>0.027598464059643852</v>
      </c>
      <c r="G711" s="81">
        <v>9000</v>
      </c>
      <c r="H711" s="30"/>
      <c r="I711" s="54">
        <f t="shared" si="71"/>
        <v>112.5</v>
      </c>
      <c r="J711" s="37">
        <f>(G711/$G$807)*100</f>
        <v>0.0357196375081966</v>
      </c>
      <c r="K711" s="90"/>
    </row>
    <row r="712" spans="1:11" ht="12.75">
      <c r="A712" s="165"/>
      <c r="B712" s="149"/>
      <c r="C712" s="4">
        <v>6050</v>
      </c>
      <c r="D712" s="4" t="s">
        <v>69</v>
      </c>
      <c r="E712" s="6">
        <v>10.1</v>
      </c>
      <c r="F712" s="116"/>
      <c r="G712" s="81"/>
      <c r="H712" s="30"/>
      <c r="I712" s="54">
        <f t="shared" si="71"/>
        <v>0</v>
      </c>
      <c r="J712" s="37"/>
      <c r="K712" s="90"/>
    </row>
    <row r="713" spans="1:11" s="16" customFormat="1" ht="31.5">
      <c r="A713" s="165"/>
      <c r="B713" s="150">
        <v>90019</v>
      </c>
      <c r="C713" s="4"/>
      <c r="D713" s="3" t="s">
        <v>320</v>
      </c>
      <c r="E713" s="5">
        <f>E714+E715</f>
        <v>2615.4</v>
      </c>
      <c r="F713" s="116">
        <f aca="true" t="shared" si="75" ref="F713:F726">(E713/$E$807)*100</f>
        <v>0.009022627862699067</v>
      </c>
      <c r="G713" s="5">
        <f>G714+G715</f>
        <v>7700</v>
      </c>
      <c r="H713" s="5" t="e">
        <f>H714+H715+#REF!</f>
        <v>#REF!</v>
      </c>
      <c r="I713" s="54">
        <f t="shared" si="71"/>
        <v>294.4100328821595</v>
      </c>
      <c r="J713" s="37"/>
      <c r="K713" s="90"/>
    </row>
    <row r="714" spans="1:11" s="16" customFormat="1" ht="12.75">
      <c r="A714" s="165"/>
      <c r="B714" s="151"/>
      <c r="C714" s="4">
        <v>4210</v>
      </c>
      <c r="D714" s="4" t="s">
        <v>73</v>
      </c>
      <c r="E714" s="6">
        <v>1102</v>
      </c>
      <c r="F714" s="116">
        <f t="shared" si="75"/>
        <v>0.003801688424215941</v>
      </c>
      <c r="G714" s="30">
        <v>1000</v>
      </c>
      <c r="H714" s="84"/>
      <c r="I714" s="54">
        <f t="shared" si="71"/>
        <v>90.74410163339383</v>
      </c>
      <c r="J714" s="37"/>
      <c r="K714" s="90"/>
    </row>
    <row r="715" spans="1:11" s="16" customFormat="1" ht="12.75">
      <c r="A715" s="165"/>
      <c r="B715" s="164"/>
      <c r="C715" s="4">
        <v>4300</v>
      </c>
      <c r="D715" s="4" t="s">
        <v>86</v>
      </c>
      <c r="E715" s="6">
        <v>1513.4</v>
      </c>
      <c r="F715" s="116">
        <f t="shared" si="75"/>
        <v>0.0052209394384831265</v>
      </c>
      <c r="G715" s="30">
        <v>6700</v>
      </c>
      <c r="H715" s="84"/>
      <c r="I715" s="54">
        <f t="shared" si="71"/>
        <v>442.7117748116823</v>
      </c>
      <c r="J715" s="37"/>
      <c r="K715" s="90"/>
    </row>
    <row r="716" spans="1:11" ht="12.75">
      <c r="A716" s="165"/>
      <c r="B716" s="150" t="s">
        <v>66</v>
      </c>
      <c r="C716" s="3"/>
      <c r="D716" s="3" t="s">
        <v>9</v>
      </c>
      <c r="E716" s="5">
        <f>E717+E718+E719+E723+E724+E720</f>
        <v>86760</v>
      </c>
      <c r="F716" s="116">
        <f t="shared" si="75"/>
        <v>0.2993053427268376</v>
      </c>
      <c r="G716" s="5">
        <f>G717+G718+G719+G723+G724+G720</f>
        <v>307466.01</v>
      </c>
      <c r="H716" s="5">
        <f>H717+H718+H719</f>
        <v>0</v>
      </c>
      <c r="I716" s="54">
        <f t="shared" si="71"/>
        <v>354.3868257261411</v>
      </c>
      <c r="J716" s="37">
        <f aca="true" t="shared" si="76" ref="J716:J733">(G716/$G$807)*100</f>
        <v>1.2202860470323946</v>
      </c>
      <c r="K716" s="90"/>
    </row>
    <row r="717" spans="1:11" ht="12.75">
      <c r="A717" s="165"/>
      <c r="B717" s="151"/>
      <c r="C717" s="4" t="s">
        <v>99</v>
      </c>
      <c r="D717" s="4" t="s">
        <v>106</v>
      </c>
      <c r="E717" s="6">
        <v>410</v>
      </c>
      <c r="F717" s="116">
        <f t="shared" si="75"/>
        <v>0.0014144212830567477</v>
      </c>
      <c r="G717" s="30">
        <v>500</v>
      </c>
      <c r="H717" s="84"/>
      <c r="I717" s="54">
        <f t="shared" si="71"/>
        <v>121.95121951219512</v>
      </c>
      <c r="J717" s="37">
        <f t="shared" si="76"/>
        <v>0.001984424306010922</v>
      </c>
      <c r="K717" s="90"/>
    </row>
    <row r="718" spans="1:11" ht="12.75">
      <c r="A718" s="165"/>
      <c r="B718" s="151"/>
      <c r="C718" s="4" t="s">
        <v>107</v>
      </c>
      <c r="D718" s="4" t="s">
        <v>74</v>
      </c>
      <c r="E718" s="6">
        <v>350</v>
      </c>
      <c r="F718" s="116">
        <f t="shared" si="75"/>
        <v>0.0012074328026094186</v>
      </c>
      <c r="G718" s="30">
        <v>450</v>
      </c>
      <c r="H718" s="84"/>
      <c r="I718" s="54">
        <f t="shared" si="71"/>
        <v>128.57142857142858</v>
      </c>
      <c r="J718" s="37">
        <f t="shared" si="76"/>
        <v>0.00178598187540983</v>
      </c>
      <c r="K718" s="90"/>
    </row>
    <row r="719" spans="1:11" ht="12.75">
      <c r="A719" s="165"/>
      <c r="B719" s="151"/>
      <c r="C719" s="4" t="s">
        <v>77</v>
      </c>
      <c r="D719" s="4" t="s">
        <v>86</v>
      </c>
      <c r="E719" s="6">
        <v>85000</v>
      </c>
      <c r="F719" s="116">
        <f t="shared" si="75"/>
        <v>0.29323368063371597</v>
      </c>
      <c r="G719" s="30">
        <v>86000</v>
      </c>
      <c r="H719" s="84"/>
      <c r="I719" s="54">
        <f t="shared" si="71"/>
        <v>101.17647058823529</v>
      </c>
      <c r="J719" s="37">
        <f t="shared" si="76"/>
        <v>0.34132098063387867</v>
      </c>
      <c r="K719" s="90"/>
    </row>
    <row r="720" spans="1:11" ht="12.75">
      <c r="A720" s="162"/>
      <c r="B720" s="153"/>
      <c r="C720" s="4">
        <v>6050</v>
      </c>
      <c r="D720" s="4" t="s">
        <v>69</v>
      </c>
      <c r="E720" s="6">
        <f>E721+E722</f>
        <v>500</v>
      </c>
      <c r="F720" s="116">
        <f t="shared" si="75"/>
        <v>0.0017249040037277407</v>
      </c>
      <c r="G720" s="6">
        <f>G721+G722</f>
        <v>62000</v>
      </c>
      <c r="H720" s="84"/>
      <c r="I720" s="54"/>
      <c r="J720" s="37"/>
      <c r="K720" s="90"/>
    </row>
    <row r="721" spans="1:11" ht="12.75">
      <c r="A721" s="162"/>
      <c r="B721" s="153"/>
      <c r="C721" s="4"/>
      <c r="D721" s="4" t="s">
        <v>378</v>
      </c>
      <c r="E721" s="6">
        <v>300</v>
      </c>
      <c r="F721" s="116">
        <f t="shared" si="75"/>
        <v>0.0010349424022366447</v>
      </c>
      <c r="G721" s="30">
        <v>40000</v>
      </c>
      <c r="H721" s="84"/>
      <c r="I721" s="54"/>
      <c r="J721" s="37"/>
      <c r="K721" s="90"/>
    </row>
    <row r="722" spans="1:11" ht="12.75">
      <c r="A722" s="162"/>
      <c r="B722" s="153"/>
      <c r="C722" s="4">
        <v>6060</v>
      </c>
      <c r="D722" s="4" t="s">
        <v>379</v>
      </c>
      <c r="E722" s="6">
        <v>200</v>
      </c>
      <c r="F722" s="116">
        <f t="shared" si="75"/>
        <v>0.0006899616014910963</v>
      </c>
      <c r="G722" s="30">
        <v>22000</v>
      </c>
      <c r="H722" s="84"/>
      <c r="I722" s="54"/>
      <c r="J722" s="37"/>
      <c r="K722" s="90"/>
    </row>
    <row r="723" spans="1:11" ht="12.75">
      <c r="A723" s="162"/>
      <c r="B723" s="153"/>
      <c r="C723" s="4">
        <v>6057</v>
      </c>
      <c r="D723" s="4" t="s">
        <v>371</v>
      </c>
      <c r="E723" s="6"/>
      <c r="F723" s="116">
        <f t="shared" si="75"/>
        <v>0</v>
      </c>
      <c r="G723" s="30">
        <v>77855</v>
      </c>
      <c r="H723" s="84"/>
      <c r="I723" s="54"/>
      <c r="J723" s="37">
        <f t="shared" si="76"/>
        <v>0.30899470868896073</v>
      </c>
      <c r="K723" s="90"/>
    </row>
    <row r="724" spans="1:11" ht="12.75">
      <c r="A724" s="163"/>
      <c r="B724" s="149"/>
      <c r="C724" s="4">
        <v>6059</v>
      </c>
      <c r="D724" s="4" t="s">
        <v>371</v>
      </c>
      <c r="E724" s="6">
        <v>500</v>
      </c>
      <c r="F724" s="116">
        <f t="shared" si="75"/>
        <v>0.0017249040037277407</v>
      </c>
      <c r="G724" s="30">
        <v>80661.01</v>
      </c>
      <c r="H724" s="84"/>
      <c r="I724" s="54"/>
      <c r="J724" s="37">
        <f t="shared" si="76"/>
        <v>0.3201313375827801</v>
      </c>
      <c r="K724" s="90"/>
    </row>
    <row r="725" spans="1:11" s="13" customFormat="1" ht="33" customHeight="1">
      <c r="A725" s="158">
        <v>921</v>
      </c>
      <c r="B725" s="3"/>
      <c r="C725" s="3"/>
      <c r="D725" s="3" t="s">
        <v>31</v>
      </c>
      <c r="E725" s="5">
        <f>E732+E735+E737</f>
        <v>790000</v>
      </c>
      <c r="F725" s="116">
        <f t="shared" si="75"/>
        <v>2.7253483258898306</v>
      </c>
      <c r="G725" s="5">
        <f>G732+G735+G737</f>
        <v>900000</v>
      </c>
      <c r="H725" s="5" t="e">
        <f>H732+H735+H737</f>
        <v>#REF!</v>
      </c>
      <c r="I725" s="54">
        <f t="shared" si="71"/>
        <v>113.9240506329114</v>
      </c>
      <c r="J725" s="37">
        <f t="shared" si="76"/>
        <v>3.57196375081966</v>
      </c>
      <c r="K725" s="90"/>
    </row>
    <row r="726" spans="1:11" s="16" customFormat="1" ht="12.75">
      <c r="A726" s="165"/>
      <c r="B726" s="49"/>
      <c r="C726" s="4"/>
      <c r="D726" s="8" t="s">
        <v>227</v>
      </c>
      <c r="E726" s="6">
        <f>E733+E736+E738+E739</f>
        <v>786000</v>
      </c>
      <c r="F726" s="116">
        <f t="shared" si="75"/>
        <v>2.711549093860009</v>
      </c>
      <c r="G726" s="6">
        <f>G733+G736+G738+G739</f>
        <v>880000</v>
      </c>
      <c r="H726" s="6">
        <f>H733+H736+H738</f>
        <v>10000</v>
      </c>
      <c r="I726" s="54">
        <f t="shared" si="71"/>
        <v>111.95928753180662</v>
      </c>
      <c r="J726" s="37">
        <f t="shared" si="76"/>
        <v>3.492586778579223</v>
      </c>
      <c r="K726" s="90"/>
    </row>
    <row r="727" spans="1:11" s="16" customFormat="1" ht="12.75">
      <c r="A727" s="165"/>
      <c r="B727" s="49"/>
      <c r="C727" s="4"/>
      <c r="D727" s="8" t="s">
        <v>226</v>
      </c>
      <c r="E727" s="6"/>
      <c r="F727" s="6">
        <f>F734</f>
        <v>0.013799232029821926</v>
      </c>
      <c r="G727" s="6"/>
      <c r="H727" s="6" t="e">
        <f>#REF!+#REF!</f>
        <v>#REF!</v>
      </c>
      <c r="I727" s="54" t="e">
        <f t="shared" si="71"/>
        <v>#DIV/0!</v>
      </c>
      <c r="J727" s="37">
        <f t="shared" si="76"/>
        <v>0</v>
      </c>
      <c r="K727" s="90"/>
    </row>
    <row r="728" spans="1:11" s="16" customFormat="1" ht="12.75">
      <c r="A728" s="165"/>
      <c r="B728" s="49"/>
      <c r="C728" s="4"/>
      <c r="D728" s="8" t="s">
        <v>393</v>
      </c>
      <c r="E728" s="6">
        <f>E734</f>
        <v>4000</v>
      </c>
      <c r="F728" s="116">
        <f aca="true" t="shared" si="77" ref="F728:F734">(E728/$E$807)*100</f>
        <v>0.013799232029821926</v>
      </c>
      <c r="G728" s="6">
        <f>G734</f>
        <v>20000</v>
      </c>
      <c r="H728" s="6">
        <f>H734</f>
        <v>0</v>
      </c>
      <c r="I728" s="54"/>
      <c r="J728" s="37">
        <f t="shared" si="76"/>
        <v>0.0793769722404369</v>
      </c>
      <c r="K728" s="90"/>
    </row>
    <row r="729" spans="1:11" s="16" customFormat="1" ht="22.5">
      <c r="A729" s="165"/>
      <c r="B729" s="49"/>
      <c r="C729" s="4"/>
      <c r="D729" s="46" t="s">
        <v>394</v>
      </c>
      <c r="E729" s="26">
        <f>SUM(E726:E728)</f>
        <v>790000</v>
      </c>
      <c r="F729" s="116">
        <f t="shared" si="77"/>
        <v>2.7253483258898306</v>
      </c>
      <c r="G729" s="26">
        <f>SUM(G726:G728)</f>
        <v>900000</v>
      </c>
      <c r="H729" s="26" t="e">
        <f>SUM(H726:H728)</f>
        <v>#REF!</v>
      </c>
      <c r="I729" s="54">
        <f>(G729/E729)*100</f>
        <v>113.9240506329114</v>
      </c>
      <c r="J729" s="37">
        <f t="shared" si="76"/>
        <v>3.57196375081966</v>
      </c>
      <c r="K729" s="90"/>
    </row>
    <row r="730" spans="1:11" s="16" customFormat="1" ht="12.75">
      <c r="A730" s="165"/>
      <c r="B730" s="49"/>
      <c r="C730" s="4"/>
      <c r="D730" s="8" t="s">
        <v>353</v>
      </c>
      <c r="E730" s="6">
        <f>E733+E736+E738</f>
        <v>786000</v>
      </c>
      <c r="F730" s="116">
        <f t="shared" si="77"/>
        <v>2.711549093860009</v>
      </c>
      <c r="G730" s="6">
        <f>G733+G736+G738</f>
        <v>880000</v>
      </c>
      <c r="H730" s="6">
        <f>H733+H736+H738</f>
        <v>10000</v>
      </c>
      <c r="I730" s="54">
        <f>(G730/E730)*100</f>
        <v>111.95928753180662</v>
      </c>
      <c r="J730" s="37">
        <f t="shared" si="76"/>
        <v>3.492586778579223</v>
      </c>
      <c r="K730" s="90"/>
    </row>
    <row r="731" spans="1:11" s="16" customFormat="1" ht="12.75">
      <c r="A731" s="165"/>
      <c r="B731" s="49"/>
      <c r="C731" s="4"/>
      <c r="D731" s="8"/>
      <c r="E731" s="6"/>
      <c r="F731" s="116">
        <f t="shared" si="77"/>
        <v>0</v>
      </c>
      <c r="G731" s="6"/>
      <c r="H731" s="61"/>
      <c r="I731" s="54"/>
      <c r="J731" s="37">
        <f t="shared" si="76"/>
        <v>0</v>
      </c>
      <c r="K731" s="90"/>
    </row>
    <row r="732" spans="1:11" ht="16.5" customHeight="1">
      <c r="A732" s="165"/>
      <c r="B732" s="150" t="s">
        <v>67</v>
      </c>
      <c r="C732" s="3"/>
      <c r="D732" s="3" t="s">
        <v>68</v>
      </c>
      <c r="E732" s="5">
        <f>E733+E734</f>
        <v>569000</v>
      </c>
      <c r="F732" s="116">
        <f t="shared" si="77"/>
        <v>1.962940756242169</v>
      </c>
      <c r="G732" s="5">
        <f>G733+G734</f>
        <v>670000</v>
      </c>
      <c r="H732" s="5" t="e">
        <f>H733+#REF!+#REF!+H734+#REF!+#REF!+#REF!</f>
        <v>#REF!</v>
      </c>
      <c r="I732" s="54">
        <f aca="true" t="shared" si="78" ref="I732:I782">(G732/E732)*100</f>
        <v>117.75043936731106</v>
      </c>
      <c r="J732" s="37">
        <f t="shared" si="76"/>
        <v>2.659128570054636</v>
      </c>
      <c r="K732" s="90"/>
    </row>
    <row r="733" spans="1:11" ht="22.5">
      <c r="A733" s="165"/>
      <c r="B733" s="151"/>
      <c r="C733" s="4" t="s">
        <v>203</v>
      </c>
      <c r="D733" s="4" t="s">
        <v>204</v>
      </c>
      <c r="E733" s="6">
        <v>565000</v>
      </c>
      <c r="F733" s="116">
        <f t="shared" si="77"/>
        <v>1.9491415242123473</v>
      </c>
      <c r="G733" s="30">
        <v>650000</v>
      </c>
      <c r="H733" s="5"/>
      <c r="I733" s="54">
        <f t="shared" si="78"/>
        <v>115.04424778761062</v>
      </c>
      <c r="J733" s="37">
        <f t="shared" si="76"/>
        <v>2.579751597814199</v>
      </c>
      <c r="K733" s="90"/>
    </row>
    <row r="734" spans="1:11" ht="44.25" customHeight="1">
      <c r="A734" s="165"/>
      <c r="B734" s="151"/>
      <c r="C734" s="25">
        <v>6220</v>
      </c>
      <c r="D734" s="25" t="s">
        <v>405</v>
      </c>
      <c r="E734" s="26">
        <v>4000</v>
      </c>
      <c r="F734" s="116">
        <f t="shared" si="77"/>
        <v>0.013799232029821926</v>
      </c>
      <c r="G734" s="26">
        <v>20000</v>
      </c>
      <c r="H734" s="26"/>
      <c r="I734" s="54"/>
      <c r="J734" s="37">
        <f>(G734/$G$807)*100</f>
        <v>0.0793769722404369</v>
      </c>
      <c r="K734" s="90"/>
    </row>
    <row r="735" spans="1:11" ht="12.75">
      <c r="A735" s="165"/>
      <c r="B735" s="150" t="s">
        <v>205</v>
      </c>
      <c r="C735" s="4"/>
      <c r="D735" s="3" t="s">
        <v>206</v>
      </c>
      <c r="E735" s="5">
        <f>E736</f>
        <v>201000</v>
      </c>
      <c r="F735" s="116">
        <f>(E735/$E$807)*100</f>
        <v>0.6934114094985518</v>
      </c>
      <c r="G735" s="5">
        <f>G736</f>
        <v>210000</v>
      </c>
      <c r="H735" s="5">
        <f>H736</f>
        <v>0</v>
      </c>
      <c r="I735" s="54">
        <f t="shared" si="78"/>
        <v>104.4776119402985</v>
      </c>
      <c r="J735" s="37">
        <f>(G735/$G$807)*100</f>
        <v>0.8334582085245873</v>
      </c>
      <c r="K735" s="90"/>
    </row>
    <row r="736" spans="1:11" ht="22.5">
      <c r="A736" s="165"/>
      <c r="B736" s="151"/>
      <c r="C736" s="4" t="s">
        <v>203</v>
      </c>
      <c r="D736" s="4" t="s">
        <v>204</v>
      </c>
      <c r="E736" s="6">
        <v>201000</v>
      </c>
      <c r="F736" s="116">
        <f>(E736/$E$807)*100</f>
        <v>0.6934114094985518</v>
      </c>
      <c r="G736" s="30">
        <v>210000</v>
      </c>
      <c r="H736" s="84"/>
      <c r="I736" s="54">
        <f t="shared" si="78"/>
        <v>104.4776119402985</v>
      </c>
      <c r="J736" s="37">
        <f>(G736/$G$807)*100</f>
        <v>0.8334582085245873</v>
      </c>
      <c r="K736" s="90"/>
    </row>
    <row r="737" spans="1:11" ht="12.75">
      <c r="A737" s="165"/>
      <c r="B737" s="150" t="s">
        <v>207</v>
      </c>
      <c r="C737" s="4"/>
      <c r="D737" s="3" t="s">
        <v>32</v>
      </c>
      <c r="E737" s="5">
        <f>E738</f>
        <v>20000</v>
      </c>
      <c r="F737" s="5">
        <f>F738+F739</f>
        <v>0</v>
      </c>
      <c r="G737" s="5">
        <f>G738</f>
        <v>20000</v>
      </c>
      <c r="H737" s="5">
        <f>H738</f>
        <v>10000</v>
      </c>
      <c r="I737" s="54">
        <f t="shared" si="78"/>
        <v>100</v>
      </c>
      <c r="J737" s="37">
        <f>(G737/$G$807)*100</f>
        <v>0.0793769722404369</v>
      </c>
      <c r="K737" s="90"/>
    </row>
    <row r="738" spans="1:11" ht="56.25" customHeight="1">
      <c r="A738" s="165"/>
      <c r="B738" s="170"/>
      <c r="C738" s="4">
        <v>2720</v>
      </c>
      <c r="D738" s="4" t="s">
        <v>208</v>
      </c>
      <c r="E738" s="6">
        <v>20000</v>
      </c>
      <c r="F738" s="116"/>
      <c r="G738" s="30">
        <v>20000</v>
      </c>
      <c r="H738" s="84">
        <v>10000</v>
      </c>
      <c r="I738" s="54">
        <f t="shared" si="78"/>
        <v>100</v>
      </c>
      <c r="J738" s="37">
        <f>(G738/$G$807)*100</f>
        <v>0.0793769722404369</v>
      </c>
      <c r="K738" s="90"/>
    </row>
    <row r="739" spans="1:11" ht="24.75" customHeight="1">
      <c r="A739" s="95"/>
      <c r="B739" s="129"/>
      <c r="C739" s="3">
        <v>6060</v>
      </c>
      <c r="D739" s="4" t="s">
        <v>352</v>
      </c>
      <c r="E739" s="6"/>
      <c r="F739" s="116"/>
      <c r="G739" s="30">
        <v>0</v>
      </c>
      <c r="H739" s="84"/>
      <c r="I739" s="54"/>
      <c r="J739" s="37"/>
      <c r="K739" s="90"/>
    </row>
    <row r="740" spans="1:11" ht="14.25" customHeight="1">
      <c r="A740" s="95"/>
      <c r="B740" s="129"/>
      <c r="C740" s="4"/>
      <c r="D740" s="4" t="s">
        <v>395</v>
      </c>
      <c r="E740" s="6"/>
      <c r="F740" s="116"/>
      <c r="G740" s="30"/>
      <c r="H740" s="84"/>
      <c r="I740" s="54"/>
      <c r="J740" s="37"/>
      <c r="K740" s="90"/>
    </row>
    <row r="741" spans="1:11" ht="12.75">
      <c r="A741" s="158">
        <v>926</v>
      </c>
      <c r="B741" s="3"/>
      <c r="C741" s="4"/>
      <c r="D741" s="3" t="s">
        <v>216</v>
      </c>
      <c r="E741" s="5">
        <f>E780+E785+E747</f>
        <v>5219081.55</v>
      </c>
      <c r="F741" s="116">
        <f aca="true" t="shared" si="79" ref="F741:F766">(E741/$E$807)*100</f>
        <v>18.004829322753167</v>
      </c>
      <c r="G741" s="5">
        <f>G780+G785+G747</f>
        <v>1222306</v>
      </c>
      <c r="H741" s="5" t="e">
        <f>H780+H785+H747</f>
        <v>#REF!</v>
      </c>
      <c r="I741" s="54">
        <f t="shared" si="78"/>
        <v>23.419944453636678</v>
      </c>
      <c r="J741" s="37">
        <f>(G741/$G$807)*100</f>
        <v>4.851147471565972</v>
      </c>
      <c r="K741" s="90"/>
    </row>
    <row r="742" spans="1:11" ht="12.75">
      <c r="A742" s="165"/>
      <c r="B742" s="3"/>
      <c r="C742" s="4"/>
      <c r="D742" s="8" t="s">
        <v>227</v>
      </c>
      <c r="E742" s="6">
        <f>E741-E743</f>
        <v>1176292.48</v>
      </c>
      <c r="F742" s="116">
        <f t="shared" si="79"/>
        <v>4.057983216613667</v>
      </c>
      <c r="G742" s="6">
        <f>G741-G743</f>
        <v>1201456</v>
      </c>
      <c r="H742" s="6" t="e">
        <f>H741-H743</f>
        <v>#REF!</v>
      </c>
      <c r="I742" s="54">
        <f t="shared" si="78"/>
        <v>102.1392230612577</v>
      </c>
      <c r="J742" s="37">
        <f>(G742/$G$807)*100</f>
        <v>4.768396978005318</v>
      </c>
      <c r="K742" s="90"/>
    </row>
    <row r="743" spans="1:11" ht="12.75">
      <c r="A743" s="165"/>
      <c r="B743" s="3"/>
      <c r="C743" s="4"/>
      <c r="D743" s="8" t="s">
        <v>226</v>
      </c>
      <c r="E743" s="6">
        <f>E769+E774+E800+E802+E779+E804</f>
        <v>4042789.07</v>
      </c>
      <c r="F743" s="116">
        <f t="shared" si="79"/>
        <v>13.9468461061395</v>
      </c>
      <c r="G743" s="6">
        <f>G769+G774+G800+G802+G779+G805+G806+G804</f>
        <v>20850</v>
      </c>
      <c r="H743" s="6" t="e">
        <f>H769+H774+H800+H802+#REF!+H779+H805+H806</f>
        <v>#REF!</v>
      </c>
      <c r="I743" s="54">
        <f t="shared" si="78"/>
        <v>0.5157330654403892</v>
      </c>
      <c r="J743" s="37">
        <f>(G743/$G$807)*100</f>
        <v>0.08275049356065545</v>
      </c>
      <c r="K743" s="90"/>
    </row>
    <row r="744" spans="1:11" ht="12" customHeight="1">
      <c r="A744" s="165"/>
      <c r="B744" s="3"/>
      <c r="C744" s="4"/>
      <c r="D744" s="8" t="s">
        <v>325</v>
      </c>
      <c r="E744" s="6">
        <f>E769+E774+E800+E802</f>
        <v>4042789.07</v>
      </c>
      <c r="F744" s="116">
        <f t="shared" si="79"/>
        <v>13.9468461061395</v>
      </c>
      <c r="G744" s="6">
        <f>G769+G774+G800+G802</f>
        <v>0</v>
      </c>
      <c r="H744" s="6"/>
      <c r="I744" s="54">
        <f t="shared" si="78"/>
        <v>0</v>
      </c>
      <c r="J744" s="37"/>
      <c r="K744" s="90"/>
    </row>
    <row r="745" spans="1:11" ht="10.5" customHeight="1">
      <c r="A745" s="165"/>
      <c r="B745" s="3"/>
      <c r="C745" s="4"/>
      <c r="D745" s="24" t="s">
        <v>281</v>
      </c>
      <c r="E745" s="27">
        <f>SUM(E742:E743)</f>
        <v>5219081.55</v>
      </c>
      <c r="F745" s="116">
        <f t="shared" si="79"/>
        <v>18.004829322753167</v>
      </c>
      <c r="G745" s="27">
        <f>SUM(G742:G743)</f>
        <v>1222306</v>
      </c>
      <c r="H745" s="27" t="e">
        <f>SUM(H742:H743)</f>
        <v>#REF!</v>
      </c>
      <c r="I745" s="54">
        <f t="shared" si="78"/>
        <v>23.419944453636678</v>
      </c>
      <c r="J745" s="37">
        <f aca="true" t="shared" si="80" ref="J745:J768">(G745/$G$807)*100</f>
        <v>4.851147471565972</v>
      </c>
      <c r="K745" s="90"/>
    </row>
    <row r="746" spans="1:11" ht="12.75">
      <c r="A746" s="165"/>
      <c r="B746" s="3"/>
      <c r="C746" s="4"/>
      <c r="D746" s="8" t="s">
        <v>246</v>
      </c>
      <c r="E746" s="6">
        <f>E781</f>
        <v>50000</v>
      </c>
      <c r="F746" s="116">
        <f t="shared" si="79"/>
        <v>0.1724904003727741</v>
      </c>
      <c r="G746" s="6">
        <f>G781</f>
        <v>60000</v>
      </c>
      <c r="H746" s="6">
        <f>H781</f>
        <v>0</v>
      </c>
      <c r="I746" s="54"/>
      <c r="J746" s="37">
        <f t="shared" si="80"/>
        <v>0.23813091672131065</v>
      </c>
      <c r="K746" s="90"/>
    </row>
    <row r="747" spans="1:11" ht="12.75">
      <c r="A747" s="165"/>
      <c r="B747" s="150">
        <v>92601</v>
      </c>
      <c r="C747" s="25"/>
      <c r="D747" s="3" t="s">
        <v>321</v>
      </c>
      <c r="E747" s="26">
        <f>E748+E749+E751+E752+E753+E754+E755+E756+E757+E758+E759+E760+E761+E762+E763+E764+E750+E774+E769+E768+E765+E766+E779+E767</f>
        <v>1034658.8499999999</v>
      </c>
      <c r="F747" s="116">
        <f t="shared" si="79"/>
        <v>3.5693743857146796</v>
      </c>
      <c r="G747" s="26">
        <f>G748+G749+G751+G752+G753+G754+G755+G756+G757+G758+G759+G760+G761+G762+G763+G764+G750+G774+G769+G768+G765+G766+G779+G767</f>
        <v>772028</v>
      </c>
      <c r="H747" s="26" t="e">
        <f>H748+H749+H751+H752+H753+H754+H755+H756+H757+H758+H759+H760+H761+H762+H763+H764+H750+H774+H769+H768+H765+#REF!+H766+H779</f>
        <v>#REF!</v>
      </c>
      <c r="I747" s="54">
        <f t="shared" si="78"/>
        <v>74.61667195907134</v>
      </c>
      <c r="J747" s="37">
        <f t="shared" si="80"/>
        <v>3.064062256242001</v>
      </c>
      <c r="K747" s="90"/>
    </row>
    <row r="748" spans="1:11" ht="22.5">
      <c r="A748" s="165"/>
      <c r="B748" s="151"/>
      <c r="C748" s="4">
        <v>3020</v>
      </c>
      <c r="D748" s="4" t="s">
        <v>154</v>
      </c>
      <c r="E748" s="6">
        <v>2592</v>
      </c>
      <c r="F748" s="116">
        <f t="shared" si="79"/>
        <v>0.00894190235532461</v>
      </c>
      <c r="G748" s="6">
        <v>2622</v>
      </c>
      <c r="H748" s="61"/>
      <c r="I748" s="54">
        <f t="shared" si="78"/>
        <v>101.15740740740742</v>
      </c>
      <c r="J748" s="37">
        <f t="shared" si="80"/>
        <v>0.010406321060721277</v>
      </c>
      <c r="K748" s="90"/>
    </row>
    <row r="749" spans="1:11" ht="12.75">
      <c r="A749" s="165"/>
      <c r="B749" s="151"/>
      <c r="C749" s="4">
        <v>4010</v>
      </c>
      <c r="D749" s="4" t="s">
        <v>93</v>
      </c>
      <c r="E749" s="6">
        <v>310690</v>
      </c>
      <c r="F749" s="116">
        <f t="shared" si="79"/>
        <v>1.0718208498363437</v>
      </c>
      <c r="G749" s="6">
        <v>318825</v>
      </c>
      <c r="H749" s="61"/>
      <c r="I749" s="54">
        <f t="shared" si="78"/>
        <v>102.61836557340114</v>
      </c>
      <c r="J749" s="37">
        <f t="shared" si="80"/>
        <v>1.2653681587278647</v>
      </c>
      <c r="K749" s="90"/>
    </row>
    <row r="750" spans="1:11" ht="12.75">
      <c r="A750" s="165"/>
      <c r="B750" s="151"/>
      <c r="C750" s="4">
        <v>4040</v>
      </c>
      <c r="D750" s="4" t="s">
        <v>95</v>
      </c>
      <c r="E750" s="6">
        <v>20228.48</v>
      </c>
      <c r="F750" s="116">
        <f t="shared" si="79"/>
        <v>0.06978437228265306</v>
      </c>
      <c r="G750" s="6">
        <v>26312</v>
      </c>
      <c r="H750" s="61"/>
      <c r="I750" s="54">
        <f t="shared" si="78"/>
        <v>130.0740342329231</v>
      </c>
      <c r="J750" s="37">
        <f t="shared" si="80"/>
        <v>0.10442834467951877</v>
      </c>
      <c r="K750" s="90"/>
    </row>
    <row r="751" spans="1:11" ht="12.75">
      <c r="A751" s="165"/>
      <c r="B751" s="151"/>
      <c r="C751" s="4">
        <v>4110</v>
      </c>
      <c r="D751" s="4" t="s">
        <v>83</v>
      </c>
      <c r="E751" s="6">
        <v>65000</v>
      </c>
      <c r="F751" s="116">
        <f t="shared" si="79"/>
        <v>0.22423752048460632</v>
      </c>
      <c r="G751" s="6">
        <v>60000</v>
      </c>
      <c r="H751" s="61"/>
      <c r="I751" s="54">
        <f t="shared" si="78"/>
        <v>92.3076923076923</v>
      </c>
      <c r="J751" s="37">
        <f t="shared" si="80"/>
        <v>0.23813091672131065</v>
      </c>
      <c r="K751" s="90"/>
    </row>
    <row r="752" spans="1:11" ht="12.75">
      <c r="A752" s="165"/>
      <c r="B752" s="151"/>
      <c r="C752" s="4">
        <v>4120</v>
      </c>
      <c r="D752" s="4" t="s">
        <v>104</v>
      </c>
      <c r="E752" s="6">
        <v>9000</v>
      </c>
      <c r="F752" s="116">
        <f t="shared" si="79"/>
        <v>0.031048272067099338</v>
      </c>
      <c r="G752" s="6">
        <v>8500</v>
      </c>
      <c r="H752" s="61"/>
      <c r="I752" s="54">
        <f t="shared" si="78"/>
        <v>94.44444444444444</v>
      </c>
      <c r="J752" s="37">
        <f t="shared" si="80"/>
        <v>0.03373521320218568</v>
      </c>
      <c r="K752" s="90"/>
    </row>
    <row r="753" spans="1:11" ht="12.75">
      <c r="A753" s="165"/>
      <c r="B753" s="151"/>
      <c r="C753" s="4">
        <v>4170</v>
      </c>
      <c r="D753" s="4" t="s">
        <v>85</v>
      </c>
      <c r="E753" s="6">
        <v>30000</v>
      </c>
      <c r="F753" s="116">
        <f t="shared" si="79"/>
        <v>0.10349424022366446</v>
      </c>
      <c r="G753" s="6">
        <v>30600</v>
      </c>
      <c r="H753" s="61"/>
      <c r="I753" s="54">
        <f t="shared" si="78"/>
        <v>102</v>
      </c>
      <c r="J753" s="37">
        <f t="shared" si="80"/>
        <v>0.12144676752786844</v>
      </c>
      <c r="K753" s="90"/>
    </row>
    <row r="754" spans="1:11" ht="12.75">
      <c r="A754" s="165"/>
      <c r="B754" s="151"/>
      <c r="C754" s="4">
        <v>4210</v>
      </c>
      <c r="D754" s="4" t="s">
        <v>73</v>
      </c>
      <c r="E754" s="6">
        <v>132000</v>
      </c>
      <c r="F754" s="116">
        <f t="shared" si="79"/>
        <v>0.4553746569841236</v>
      </c>
      <c r="G754" s="6">
        <v>148814</v>
      </c>
      <c r="H754" s="61"/>
      <c r="I754" s="54">
        <f t="shared" si="78"/>
        <v>112.7378787878788</v>
      </c>
      <c r="J754" s="37">
        <f t="shared" si="80"/>
        <v>0.5906202373494188</v>
      </c>
      <c r="K754" s="90"/>
    </row>
    <row r="755" spans="1:11" ht="12.75">
      <c r="A755" s="165"/>
      <c r="B755" s="151"/>
      <c r="C755" s="4">
        <v>4260</v>
      </c>
      <c r="D755" s="4" t="s">
        <v>74</v>
      </c>
      <c r="E755" s="6">
        <v>77447</v>
      </c>
      <c r="F755" s="116">
        <f t="shared" si="79"/>
        <v>0.26717728075340474</v>
      </c>
      <c r="G755" s="6">
        <v>79306</v>
      </c>
      <c r="H755" s="61"/>
      <c r="I755" s="54">
        <f t="shared" si="78"/>
        <v>102.40035120792284</v>
      </c>
      <c r="J755" s="37">
        <f t="shared" si="80"/>
        <v>0.3147535080250044</v>
      </c>
      <c r="K755" s="90"/>
    </row>
    <row r="756" spans="1:11" ht="12.75">
      <c r="A756" s="165"/>
      <c r="B756" s="151"/>
      <c r="C756" s="4">
        <v>4270</v>
      </c>
      <c r="D756" s="4" t="s">
        <v>76</v>
      </c>
      <c r="E756" s="6">
        <v>10000</v>
      </c>
      <c r="F756" s="116">
        <f t="shared" si="79"/>
        <v>0.03449808007455482</v>
      </c>
      <c r="G756" s="6">
        <v>10240</v>
      </c>
      <c r="H756" s="61"/>
      <c r="I756" s="54">
        <f t="shared" si="78"/>
        <v>102.4</v>
      </c>
      <c r="J756" s="37">
        <f t="shared" si="80"/>
        <v>0.04064100978710369</v>
      </c>
      <c r="K756" s="90"/>
    </row>
    <row r="757" spans="1:11" ht="12.75">
      <c r="A757" s="165"/>
      <c r="B757" s="151"/>
      <c r="C757" s="4">
        <v>4280</v>
      </c>
      <c r="D757" s="4" t="s">
        <v>89</v>
      </c>
      <c r="E757" s="6">
        <v>450</v>
      </c>
      <c r="F757" s="116">
        <f t="shared" si="79"/>
        <v>0.0015524136033549668</v>
      </c>
      <c r="G757" s="6">
        <v>450</v>
      </c>
      <c r="H757" s="61"/>
      <c r="I757" s="54">
        <f t="shared" si="78"/>
        <v>100</v>
      </c>
      <c r="J757" s="37">
        <f t="shared" si="80"/>
        <v>0.00178598187540983</v>
      </c>
      <c r="K757" s="90"/>
    </row>
    <row r="758" spans="1:11" ht="12.75">
      <c r="A758" s="165"/>
      <c r="B758" s="151"/>
      <c r="C758" s="4">
        <v>4300</v>
      </c>
      <c r="D758" s="4" t="s">
        <v>86</v>
      </c>
      <c r="E758" s="6">
        <v>27126</v>
      </c>
      <c r="F758" s="116">
        <f t="shared" si="79"/>
        <v>0.09357949201023741</v>
      </c>
      <c r="G758" s="6">
        <v>27775</v>
      </c>
      <c r="H758" s="61"/>
      <c r="I758" s="54">
        <f t="shared" si="78"/>
        <v>102.39253852392538</v>
      </c>
      <c r="J758" s="37">
        <f t="shared" si="80"/>
        <v>0.11023477019890673</v>
      </c>
      <c r="K758" s="90"/>
    </row>
    <row r="759" spans="1:11" ht="12.75">
      <c r="A759" s="165"/>
      <c r="B759" s="151"/>
      <c r="C759" s="4">
        <v>4350</v>
      </c>
      <c r="D759" s="4" t="s">
        <v>241</v>
      </c>
      <c r="E759" s="6">
        <v>1104</v>
      </c>
      <c r="F759" s="116">
        <f t="shared" si="79"/>
        <v>0.0038085880402308524</v>
      </c>
      <c r="G759" s="6">
        <v>1176</v>
      </c>
      <c r="H759" s="61"/>
      <c r="I759" s="54">
        <f t="shared" si="78"/>
        <v>106.5217391304348</v>
      </c>
      <c r="J759" s="37">
        <f t="shared" si="80"/>
        <v>0.004667365967737689</v>
      </c>
      <c r="K759" s="90"/>
    </row>
    <row r="760" spans="1:11" ht="24" customHeight="1">
      <c r="A760" s="165"/>
      <c r="B760" s="151"/>
      <c r="C760" s="4">
        <v>4360</v>
      </c>
      <c r="D760" s="4" t="s">
        <v>162</v>
      </c>
      <c r="E760" s="6">
        <v>1650</v>
      </c>
      <c r="F760" s="116">
        <f t="shared" si="79"/>
        <v>0.005692183212301545</v>
      </c>
      <c r="G760" s="6">
        <v>1690</v>
      </c>
      <c r="H760" s="61"/>
      <c r="I760" s="54">
        <f t="shared" si="78"/>
        <v>102.42424242424242</v>
      </c>
      <c r="J760" s="37">
        <f t="shared" si="80"/>
        <v>0.0067073541543169165</v>
      </c>
      <c r="K760" s="90"/>
    </row>
    <row r="761" spans="1:11" ht="22.5">
      <c r="A761" s="165"/>
      <c r="B761" s="151"/>
      <c r="C761" s="4">
        <v>4370</v>
      </c>
      <c r="D761" s="4" t="s">
        <v>147</v>
      </c>
      <c r="E761" s="6">
        <v>1050</v>
      </c>
      <c r="F761" s="116">
        <f t="shared" si="79"/>
        <v>0.003622298407828256</v>
      </c>
      <c r="G761" s="6">
        <v>1070</v>
      </c>
      <c r="H761" s="61"/>
      <c r="I761" s="54">
        <f t="shared" si="78"/>
        <v>101.9047619047619</v>
      </c>
      <c r="J761" s="37">
        <f t="shared" si="80"/>
        <v>0.004246668014863373</v>
      </c>
      <c r="K761" s="90"/>
    </row>
    <row r="762" spans="1:11" ht="12.75">
      <c r="A762" s="165"/>
      <c r="B762" s="151"/>
      <c r="C762" s="4">
        <v>4410</v>
      </c>
      <c r="D762" s="4" t="s">
        <v>160</v>
      </c>
      <c r="E762" s="6">
        <v>4600</v>
      </c>
      <c r="F762" s="116">
        <f t="shared" si="79"/>
        <v>0.015869116834295215</v>
      </c>
      <c r="G762" s="6">
        <v>4600</v>
      </c>
      <c r="H762" s="61"/>
      <c r="I762" s="54">
        <f t="shared" si="78"/>
        <v>100</v>
      </c>
      <c r="J762" s="37">
        <f t="shared" si="80"/>
        <v>0.018256703615300483</v>
      </c>
      <c r="K762" s="90"/>
    </row>
    <row r="763" spans="1:11" ht="12.75">
      <c r="A763" s="165"/>
      <c r="B763" s="151"/>
      <c r="C763" s="4">
        <v>4430</v>
      </c>
      <c r="D763" s="4" t="s">
        <v>87</v>
      </c>
      <c r="E763" s="6">
        <v>6565.97</v>
      </c>
      <c r="F763" s="116">
        <f t="shared" si="79"/>
        <v>0.02265133588271247</v>
      </c>
      <c r="G763" s="6">
        <v>6700</v>
      </c>
      <c r="H763" s="61"/>
      <c r="I763" s="54">
        <f t="shared" si="78"/>
        <v>102.04128255231137</v>
      </c>
      <c r="J763" s="37">
        <f t="shared" si="80"/>
        <v>0.02659128570054636</v>
      </c>
      <c r="K763" s="90"/>
    </row>
    <row r="764" spans="1:11" ht="12.75">
      <c r="A764" s="165"/>
      <c r="B764" s="151"/>
      <c r="C764" s="4">
        <v>4440</v>
      </c>
      <c r="D764" s="4" t="s">
        <v>158</v>
      </c>
      <c r="E764" s="6">
        <v>9659.4</v>
      </c>
      <c r="F764" s="116">
        <f t="shared" si="79"/>
        <v>0.03332307546721548</v>
      </c>
      <c r="G764" s="6">
        <v>11300</v>
      </c>
      <c r="H764" s="61"/>
      <c r="I764" s="54">
        <f t="shared" si="78"/>
        <v>116.98449179038035</v>
      </c>
      <c r="J764" s="37">
        <f t="shared" si="80"/>
        <v>0.04484798931584684</v>
      </c>
      <c r="K764" s="90"/>
    </row>
    <row r="765" spans="1:11" ht="12.75">
      <c r="A765" s="165"/>
      <c r="B765" s="151"/>
      <c r="C765" s="4">
        <v>4480</v>
      </c>
      <c r="D765" s="4" t="s">
        <v>300</v>
      </c>
      <c r="E765" s="6">
        <v>3151</v>
      </c>
      <c r="F765" s="116">
        <f t="shared" si="79"/>
        <v>0.010870345031492224</v>
      </c>
      <c r="G765" s="6">
        <v>3200</v>
      </c>
      <c r="H765" s="61"/>
      <c r="I765" s="54">
        <f t="shared" si="78"/>
        <v>101.55506188511583</v>
      </c>
      <c r="J765" s="37">
        <f t="shared" si="80"/>
        <v>0.012700315558469902</v>
      </c>
      <c r="K765" s="90"/>
    </row>
    <row r="766" spans="1:14" ht="22.5">
      <c r="A766" s="165"/>
      <c r="B766" s="151"/>
      <c r="C766" s="4">
        <v>4520</v>
      </c>
      <c r="D766" s="4" t="s">
        <v>101</v>
      </c>
      <c r="E766" s="6">
        <v>9648</v>
      </c>
      <c r="F766" s="116">
        <f t="shared" si="79"/>
        <v>0.033283747655930486</v>
      </c>
      <c r="G766" s="6">
        <v>9648</v>
      </c>
      <c r="H766" s="61"/>
      <c r="I766" s="54">
        <f t="shared" si="78"/>
        <v>100</v>
      </c>
      <c r="J766" s="37">
        <f t="shared" si="80"/>
        <v>0.03829145140878676</v>
      </c>
      <c r="K766" s="143"/>
      <c r="L766" s="145"/>
      <c r="M766" s="145"/>
      <c r="N766" s="146"/>
    </row>
    <row r="767" spans="1:11" ht="12.75">
      <c r="A767" s="165"/>
      <c r="B767" s="151"/>
      <c r="C767" s="4">
        <v>4530</v>
      </c>
      <c r="D767" s="4" t="s">
        <v>136</v>
      </c>
      <c r="E767" s="6"/>
      <c r="F767" s="116"/>
      <c r="G767" s="6">
        <v>4000</v>
      </c>
      <c r="H767" s="61"/>
      <c r="I767" s="54"/>
      <c r="J767" s="37">
        <f t="shared" si="80"/>
        <v>0.015875394448087377</v>
      </c>
      <c r="K767" s="90"/>
    </row>
    <row r="768" spans="1:11" ht="22.5">
      <c r="A768" s="165"/>
      <c r="B768" s="151"/>
      <c r="C768" s="4">
        <v>4700</v>
      </c>
      <c r="D768" s="4" t="s">
        <v>137</v>
      </c>
      <c r="E768" s="6">
        <v>400</v>
      </c>
      <c r="F768" s="116">
        <f aca="true" t="shared" si="81" ref="F768:F803">(E768/$E$807)*100</f>
        <v>0.0013799232029821926</v>
      </c>
      <c r="G768" s="6">
        <v>400</v>
      </c>
      <c r="H768" s="61"/>
      <c r="I768" s="54">
        <f t="shared" si="78"/>
        <v>100</v>
      </c>
      <c r="J768" s="37">
        <f t="shared" si="80"/>
        <v>0.0015875394448087378</v>
      </c>
      <c r="K768" s="90"/>
    </row>
    <row r="769" spans="1:11" ht="12.75">
      <c r="A769" s="165"/>
      <c r="B769" s="151"/>
      <c r="C769" s="4">
        <v>6057</v>
      </c>
      <c r="D769" s="4" t="s">
        <v>72</v>
      </c>
      <c r="E769" s="6">
        <v>262315.94</v>
      </c>
      <c r="F769" s="116">
        <f t="shared" si="81"/>
        <v>0.9049396302952117</v>
      </c>
      <c r="G769" s="6"/>
      <c r="H769" s="6">
        <f>H770+H771+H772+H773</f>
        <v>0</v>
      </c>
      <c r="I769" s="54"/>
      <c r="J769" s="37">
        <f>(G769/$G$807)*100</f>
        <v>0</v>
      </c>
      <c r="K769" s="90"/>
    </row>
    <row r="770" spans="1:11" ht="12.75" hidden="1">
      <c r="A770" s="165"/>
      <c r="B770" s="151"/>
      <c r="C770" s="4"/>
      <c r="D770" s="8" t="s">
        <v>285</v>
      </c>
      <c r="E770" s="6"/>
      <c r="F770" s="116">
        <f t="shared" si="81"/>
        <v>0</v>
      </c>
      <c r="G770" s="6"/>
      <c r="H770" s="61"/>
      <c r="I770" s="54" t="e">
        <f t="shared" si="78"/>
        <v>#DIV/0!</v>
      </c>
      <c r="J770" s="37">
        <f>(G770/$G$807)*100</f>
        <v>0</v>
      </c>
      <c r="K770" s="90"/>
    </row>
    <row r="771" spans="1:11" ht="15" customHeight="1" hidden="1">
      <c r="A771" s="165"/>
      <c r="B771" s="151"/>
      <c r="C771" s="4"/>
      <c r="D771" s="8" t="s">
        <v>286</v>
      </c>
      <c r="E771" s="6"/>
      <c r="F771" s="116">
        <f t="shared" si="81"/>
        <v>0</v>
      </c>
      <c r="G771" s="6"/>
      <c r="H771" s="61"/>
      <c r="I771" s="54" t="e">
        <f t="shared" si="78"/>
        <v>#DIV/0!</v>
      </c>
      <c r="J771" s="37">
        <f>(G771/$G$807)*100</f>
        <v>0</v>
      </c>
      <c r="K771" s="90"/>
    </row>
    <row r="772" spans="1:11" ht="12.75" customHeight="1" hidden="1">
      <c r="A772" s="165"/>
      <c r="B772" s="151"/>
      <c r="C772" s="4"/>
      <c r="D772" s="72" t="s">
        <v>291</v>
      </c>
      <c r="E772" s="6"/>
      <c r="F772" s="116">
        <f t="shared" si="81"/>
        <v>0</v>
      </c>
      <c r="G772" s="6"/>
      <c r="H772" s="61"/>
      <c r="I772" s="54" t="e">
        <f t="shared" si="78"/>
        <v>#DIV/0!</v>
      </c>
      <c r="J772" s="37"/>
      <c r="K772" s="90"/>
    </row>
    <row r="773" spans="1:11" ht="12.75" customHeight="1" hidden="1">
      <c r="A773" s="165"/>
      <c r="B773" s="151"/>
      <c r="C773" s="4"/>
      <c r="D773" s="72" t="s">
        <v>301</v>
      </c>
      <c r="E773" s="6"/>
      <c r="F773" s="116">
        <f t="shared" si="81"/>
        <v>0</v>
      </c>
      <c r="G773" s="6"/>
      <c r="H773" s="61"/>
      <c r="I773" s="54" t="e">
        <f t="shared" si="78"/>
        <v>#DIV/0!</v>
      </c>
      <c r="J773" s="37"/>
      <c r="K773" s="90"/>
    </row>
    <row r="774" spans="1:11" ht="12.75">
      <c r="A774" s="165"/>
      <c r="B774" s="151"/>
      <c r="C774" s="4">
        <v>6059</v>
      </c>
      <c r="D774" s="4" t="s">
        <v>72</v>
      </c>
      <c r="E774" s="6">
        <v>49981.06</v>
      </c>
      <c r="F774" s="116">
        <f t="shared" si="81"/>
        <v>0.17242506100911287</v>
      </c>
      <c r="G774" s="6"/>
      <c r="H774" s="6">
        <f>H775+H776+H777+H778</f>
        <v>0</v>
      </c>
      <c r="I774" s="54">
        <f t="shared" si="78"/>
        <v>0</v>
      </c>
      <c r="J774" s="37">
        <f>(G774/$G$807)*100</f>
        <v>0</v>
      </c>
      <c r="K774" s="90"/>
    </row>
    <row r="775" spans="1:11" ht="12.75" hidden="1">
      <c r="A775" s="165"/>
      <c r="B775" s="151"/>
      <c r="C775" s="4"/>
      <c r="D775" s="8" t="s">
        <v>285</v>
      </c>
      <c r="E775" s="6"/>
      <c r="F775" s="116">
        <f t="shared" si="81"/>
        <v>0</v>
      </c>
      <c r="G775" s="6"/>
      <c r="H775" s="61"/>
      <c r="I775" s="54" t="e">
        <f t="shared" si="78"/>
        <v>#DIV/0!</v>
      </c>
      <c r="J775" s="37">
        <f>(G775/$G$807)*100</f>
        <v>0</v>
      </c>
      <c r="K775" s="90"/>
    </row>
    <row r="776" spans="1:11" ht="14.25" customHeight="1" hidden="1">
      <c r="A776" s="165"/>
      <c r="B776" s="151"/>
      <c r="C776" s="4"/>
      <c r="D776" s="8" t="s">
        <v>286</v>
      </c>
      <c r="E776" s="6"/>
      <c r="F776" s="116">
        <f t="shared" si="81"/>
        <v>0</v>
      </c>
      <c r="G776" s="6"/>
      <c r="H776" s="61"/>
      <c r="I776" s="54" t="e">
        <f t="shared" si="78"/>
        <v>#DIV/0!</v>
      </c>
      <c r="J776" s="37">
        <f>(G776/$G$807)*100</f>
        <v>0</v>
      </c>
      <c r="K776" s="90"/>
    </row>
    <row r="777" spans="1:11" ht="12.75" hidden="1">
      <c r="A777" s="165"/>
      <c r="B777" s="151"/>
      <c r="C777" s="4"/>
      <c r="D777" s="72" t="s">
        <v>291</v>
      </c>
      <c r="E777" s="6"/>
      <c r="F777" s="116">
        <f t="shared" si="81"/>
        <v>0</v>
      </c>
      <c r="G777" s="6"/>
      <c r="H777" s="61"/>
      <c r="I777" s="54" t="e">
        <f t="shared" si="78"/>
        <v>#DIV/0!</v>
      </c>
      <c r="J777" s="37"/>
      <c r="K777" s="90"/>
    </row>
    <row r="778" spans="1:11" ht="14.25" customHeight="1" hidden="1">
      <c r="A778" s="165"/>
      <c r="B778" s="151"/>
      <c r="C778" s="4"/>
      <c r="D778" s="72" t="s">
        <v>301</v>
      </c>
      <c r="E778" s="6"/>
      <c r="F778" s="116">
        <f t="shared" si="81"/>
        <v>0</v>
      </c>
      <c r="G778" s="6"/>
      <c r="H778" s="61"/>
      <c r="I778" s="54" t="e">
        <f t="shared" si="78"/>
        <v>#DIV/0!</v>
      </c>
      <c r="J778" s="37"/>
      <c r="K778" s="90"/>
    </row>
    <row r="779" spans="1:11" ht="20.25" customHeight="1">
      <c r="A779" s="165"/>
      <c r="B779" s="88"/>
      <c r="C779" s="4">
        <v>6060</v>
      </c>
      <c r="D779" s="72" t="s">
        <v>354</v>
      </c>
      <c r="E779" s="6"/>
      <c r="F779" s="116">
        <f t="shared" si="81"/>
        <v>0</v>
      </c>
      <c r="G779" s="6">
        <v>14800</v>
      </c>
      <c r="H779" s="61"/>
      <c r="I779" s="54" t="e">
        <f t="shared" si="78"/>
        <v>#DIV/0!</v>
      </c>
      <c r="J779" s="37"/>
      <c r="K779" s="90"/>
    </row>
    <row r="780" spans="1:11" ht="21">
      <c r="A780" s="165"/>
      <c r="B780" s="150" t="s">
        <v>70</v>
      </c>
      <c r="C780" s="4"/>
      <c r="D780" s="3" t="s">
        <v>71</v>
      </c>
      <c r="E780" s="5">
        <f>E781+E782+E783+E784</f>
        <v>61000</v>
      </c>
      <c r="F780" s="116">
        <f t="shared" si="81"/>
        <v>0.2104382884547844</v>
      </c>
      <c r="G780" s="5">
        <f>G781+G782+G783+G784</f>
        <v>71000</v>
      </c>
      <c r="H780" s="5">
        <f>H781+H782+H783+H784</f>
        <v>0</v>
      </c>
      <c r="I780" s="54">
        <f t="shared" si="78"/>
        <v>116.39344262295081</v>
      </c>
      <c r="J780" s="37">
        <f aca="true" t="shared" si="82" ref="J780:J813">(G780/$G$807)*100</f>
        <v>0.28178825145355096</v>
      </c>
      <c r="K780" s="90"/>
    </row>
    <row r="781" spans="1:11" ht="44.25" customHeight="1">
      <c r="A781" s="165"/>
      <c r="B781" s="170"/>
      <c r="C781" s="4" t="s">
        <v>209</v>
      </c>
      <c r="D781" s="4" t="s">
        <v>210</v>
      </c>
      <c r="E781" s="6">
        <v>50000</v>
      </c>
      <c r="F781" s="116">
        <f t="shared" si="81"/>
        <v>0.1724904003727741</v>
      </c>
      <c r="G781" s="30">
        <v>60000</v>
      </c>
      <c r="H781" s="84"/>
      <c r="I781" s="54">
        <f t="shared" si="78"/>
        <v>120</v>
      </c>
      <c r="J781" s="37">
        <f t="shared" si="82"/>
        <v>0.23813091672131065</v>
      </c>
      <c r="K781" s="90"/>
    </row>
    <row r="782" spans="1:11" ht="16.5" customHeight="1">
      <c r="A782" s="165"/>
      <c r="B782" s="170"/>
      <c r="C782" s="4">
        <v>4210</v>
      </c>
      <c r="D782" s="4" t="s">
        <v>73</v>
      </c>
      <c r="E782" s="6">
        <v>4000</v>
      </c>
      <c r="F782" s="116">
        <f t="shared" si="81"/>
        <v>0.013799232029821926</v>
      </c>
      <c r="G782" s="30">
        <v>4000</v>
      </c>
      <c r="H782" s="84"/>
      <c r="I782" s="54">
        <f t="shared" si="78"/>
        <v>100</v>
      </c>
      <c r="J782" s="37">
        <f t="shared" si="82"/>
        <v>0.015875394448087377</v>
      </c>
      <c r="K782" s="90"/>
    </row>
    <row r="783" spans="1:11" ht="16.5" customHeight="1">
      <c r="A783" s="165"/>
      <c r="B783" s="170"/>
      <c r="C783" s="4">
        <v>4300</v>
      </c>
      <c r="D783" s="4" t="s">
        <v>86</v>
      </c>
      <c r="E783" s="6">
        <v>6000</v>
      </c>
      <c r="F783" s="116">
        <f t="shared" si="81"/>
        <v>0.02069884804473289</v>
      </c>
      <c r="G783" s="30">
        <v>6000</v>
      </c>
      <c r="H783" s="84"/>
      <c r="I783" s="54">
        <f>(G783/E783)*100</f>
        <v>100</v>
      </c>
      <c r="J783" s="37">
        <f t="shared" si="82"/>
        <v>0.023813091672131068</v>
      </c>
      <c r="K783" s="90"/>
    </row>
    <row r="784" spans="1:11" ht="13.5" customHeight="1">
      <c r="A784" s="165"/>
      <c r="B784" s="170"/>
      <c r="C784" s="4">
        <v>4410</v>
      </c>
      <c r="D784" s="4" t="s">
        <v>160</v>
      </c>
      <c r="E784" s="6">
        <v>1000</v>
      </c>
      <c r="F784" s="116">
        <f t="shared" si="81"/>
        <v>0.0034498080074554815</v>
      </c>
      <c r="G784" s="30">
        <v>1000</v>
      </c>
      <c r="H784" s="84"/>
      <c r="I784" s="54">
        <f>(G784/E784)*100</f>
        <v>100</v>
      </c>
      <c r="J784" s="37">
        <f t="shared" si="82"/>
        <v>0.003968848612021844</v>
      </c>
      <c r="K784" s="90"/>
    </row>
    <row r="785" spans="1:11" ht="12.75">
      <c r="A785" s="165"/>
      <c r="B785" s="150" t="s">
        <v>211</v>
      </c>
      <c r="C785" s="4"/>
      <c r="D785" s="3" t="s">
        <v>9</v>
      </c>
      <c r="E785" s="5">
        <f>E786+E787+E788+E789+E790+E792+E794+E796+E797+E798+E795+E802+E800+E791+E793+E799+E805+E806+E804</f>
        <v>4123422.7</v>
      </c>
      <c r="F785" s="116">
        <f t="shared" si="81"/>
        <v>14.225016648583704</v>
      </c>
      <c r="G785" s="5">
        <f>G786+G787+G788+G789+G790+G792+G794+G796+G797+G798+G795+G802+G800+G791+G793+G799+G805+G806+G804</f>
        <v>379278</v>
      </c>
      <c r="H785" s="5" t="e">
        <f>H786+H787+H788+H789+H790+H792+H794+H796+H797+H798+H795+H802+H800+H791+H793+H799+#REF!</f>
        <v>#REF!</v>
      </c>
      <c r="I785" s="54">
        <f aca="true" t="shared" si="83" ref="I785:I807">(G785/E785)*100</f>
        <v>9.198135325781662</v>
      </c>
      <c r="J785" s="37">
        <f t="shared" si="82"/>
        <v>1.5052969638704212</v>
      </c>
      <c r="K785" s="90"/>
    </row>
    <row r="786" spans="1:11" ht="12.75">
      <c r="A786" s="165"/>
      <c r="B786" s="170"/>
      <c r="C786" s="4" t="s">
        <v>90</v>
      </c>
      <c r="D786" s="4" t="s">
        <v>191</v>
      </c>
      <c r="E786" s="6">
        <v>1955</v>
      </c>
      <c r="F786" s="116">
        <f t="shared" si="81"/>
        <v>0.006744374654575467</v>
      </c>
      <c r="G786" s="30">
        <v>1955</v>
      </c>
      <c r="H786" s="84"/>
      <c r="I786" s="54">
        <f t="shared" si="83"/>
        <v>100</v>
      </c>
      <c r="J786" s="37">
        <f t="shared" si="82"/>
        <v>0.007759099036502706</v>
      </c>
      <c r="K786" s="90"/>
    </row>
    <row r="787" spans="1:11" ht="12.75">
      <c r="A787" s="165"/>
      <c r="B787" s="170"/>
      <c r="C787" s="4" t="s">
        <v>92</v>
      </c>
      <c r="D787" s="4" t="s">
        <v>185</v>
      </c>
      <c r="E787" s="6">
        <v>169100</v>
      </c>
      <c r="F787" s="116">
        <f t="shared" si="81"/>
        <v>0.583362534060722</v>
      </c>
      <c r="G787" s="30">
        <v>149708</v>
      </c>
      <c r="H787" s="84"/>
      <c r="I787" s="54">
        <f t="shared" si="83"/>
        <v>88.53222945002956</v>
      </c>
      <c r="J787" s="37">
        <f t="shared" si="82"/>
        <v>0.5941683880085663</v>
      </c>
      <c r="K787" s="90"/>
    </row>
    <row r="788" spans="1:11" ht="12.75">
      <c r="A788" s="165"/>
      <c r="B788" s="170"/>
      <c r="C788" s="4" t="s">
        <v>94</v>
      </c>
      <c r="D788" s="4" t="s">
        <v>95</v>
      </c>
      <c r="E788" s="6">
        <v>14226.23</v>
      </c>
      <c r="F788" s="116">
        <f t="shared" si="81"/>
        <v>0.0490777621699034</v>
      </c>
      <c r="G788" s="30">
        <v>16841</v>
      </c>
      <c r="H788" s="84"/>
      <c r="I788" s="54">
        <f t="shared" si="83"/>
        <v>118.37992215787317</v>
      </c>
      <c r="J788" s="37">
        <f t="shared" si="82"/>
        <v>0.06683937947505988</v>
      </c>
      <c r="K788" s="90"/>
    </row>
    <row r="789" spans="1:11" ht="12.75">
      <c r="A789" s="165"/>
      <c r="B789" s="170"/>
      <c r="C789" s="4" t="s">
        <v>96</v>
      </c>
      <c r="D789" s="4" t="s">
        <v>186</v>
      </c>
      <c r="E789" s="6">
        <v>34000</v>
      </c>
      <c r="F789" s="116">
        <f t="shared" si="81"/>
        <v>0.11729347225348638</v>
      </c>
      <c r="G789" s="30">
        <v>30000</v>
      </c>
      <c r="H789" s="84"/>
      <c r="I789" s="54">
        <f t="shared" si="83"/>
        <v>88.23529411764706</v>
      </c>
      <c r="J789" s="37">
        <f t="shared" si="82"/>
        <v>0.11906545836065532</v>
      </c>
      <c r="K789" s="90"/>
    </row>
    <row r="790" spans="1:11" ht="12.75">
      <c r="A790" s="165"/>
      <c r="B790" s="170"/>
      <c r="C790" s="4" t="s">
        <v>97</v>
      </c>
      <c r="D790" s="4" t="s">
        <v>104</v>
      </c>
      <c r="E790" s="6">
        <v>5000</v>
      </c>
      <c r="F790" s="116">
        <f t="shared" si="81"/>
        <v>0.01724904003727741</v>
      </c>
      <c r="G790" s="30">
        <v>4100</v>
      </c>
      <c r="H790" s="84"/>
      <c r="I790" s="54">
        <f t="shared" si="83"/>
        <v>82</v>
      </c>
      <c r="J790" s="37">
        <f t="shared" si="82"/>
        <v>0.016272279309289563</v>
      </c>
      <c r="K790" s="90"/>
    </row>
    <row r="791" spans="1:11" ht="12.75">
      <c r="A791" s="165"/>
      <c r="B791" s="170"/>
      <c r="C791" s="4">
        <v>4170</v>
      </c>
      <c r="D791" s="4" t="s">
        <v>85</v>
      </c>
      <c r="E791" s="6">
        <v>1500</v>
      </c>
      <c r="F791" s="116">
        <f t="shared" si="81"/>
        <v>0.0051747120111832225</v>
      </c>
      <c r="G791" s="30">
        <v>1500</v>
      </c>
      <c r="H791" s="84"/>
      <c r="I791" s="54">
        <f t="shared" si="83"/>
        <v>100</v>
      </c>
      <c r="J791" s="37">
        <f t="shared" si="82"/>
        <v>0.005953272918032767</v>
      </c>
      <c r="K791" s="90"/>
    </row>
    <row r="792" spans="1:11" ht="12.75">
      <c r="A792" s="165"/>
      <c r="B792" s="170"/>
      <c r="C792" s="4" t="s">
        <v>99</v>
      </c>
      <c r="D792" s="4" t="s">
        <v>73</v>
      </c>
      <c r="E792" s="6">
        <v>16990.89</v>
      </c>
      <c r="F792" s="116">
        <f t="shared" si="81"/>
        <v>0.05861530837579527</v>
      </c>
      <c r="G792" s="30">
        <v>17400</v>
      </c>
      <c r="H792" s="84"/>
      <c r="I792" s="54">
        <f t="shared" si="83"/>
        <v>102.40781971986164</v>
      </c>
      <c r="J792" s="37">
        <f t="shared" si="82"/>
        <v>0.0690579658491801</v>
      </c>
      <c r="K792" s="90"/>
    </row>
    <row r="793" spans="1:11" ht="12.75">
      <c r="A793" s="165"/>
      <c r="B793" s="170"/>
      <c r="C793" s="4">
        <v>4220</v>
      </c>
      <c r="D793" s="4" t="s">
        <v>297</v>
      </c>
      <c r="E793" s="6">
        <v>135000</v>
      </c>
      <c r="F793" s="116">
        <f t="shared" si="81"/>
        <v>0.46572408100649004</v>
      </c>
      <c r="G793" s="30">
        <v>138240</v>
      </c>
      <c r="H793" s="84"/>
      <c r="I793" s="54">
        <f t="shared" si="83"/>
        <v>102.4</v>
      </c>
      <c r="J793" s="37">
        <f t="shared" si="82"/>
        <v>0.5486536321258998</v>
      </c>
      <c r="K793" s="90"/>
    </row>
    <row r="794" spans="1:11" ht="12.75">
      <c r="A794" s="165"/>
      <c r="B794" s="170"/>
      <c r="C794" s="4">
        <v>4270</v>
      </c>
      <c r="D794" s="4" t="s">
        <v>76</v>
      </c>
      <c r="E794" s="6">
        <v>3500</v>
      </c>
      <c r="F794" s="116">
        <f t="shared" si="81"/>
        <v>0.012074328026094186</v>
      </c>
      <c r="G794" s="30">
        <v>3584</v>
      </c>
      <c r="H794" s="84"/>
      <c r="I794" s="54">
        <f t="shared" si="83"/>
        <v>102.4</v>
      </c>
      <c r="J794" s="37">
        <f t="shared" si="82"/>
        <v>0.01422435342548629</v>
      </c>
      <c r="K794" s="90"/>
    </row>
    <row r="795" spans="1:11" ht="12.75">
      <c r="A795" s="165"/>
      <c r="B795" s="170"/>
      <c r="C795" s="4">
        <v>4280</v>
      </c>
      <c r="D795" s="4" t="s">
        <v>89</v>
      </c>
      <c r="E795" s="6">
        <v>300</v>
      </c>
      <c r="F795" s="116">
        <f t="shared" si="81"/>
        <v>0.0010349424022366447</v>
      </c>
      <c r="G795" s="30">
        <v>300</v>
      </c>
      <c r="H795" s="84"/>
      <c r="I795" s="54">
        <f t="shared" si="83"/>
        <v>100</v>
      </c>
      <c r="J795" s="37">
        <f t="shared" si="82"/>
        <v>0.0011906545836065535</v>
      </c>
      <c r="K795" s="90"/>
    </row>
    <row r="796" spans="1:11" ht="12.75">
      <c r="A796" s="165"/>
      <c r="B796" s="170"/>
      <c r="C796" s="4" t="s">
        <v>77</v>
      </c>
      <c r="D796" s="4" t="s">
        <v>86</v>
      </c>
      <c r="E796" s="6">
        <v>3000</v>
      </c>
      <c r="F796" s="116">
        <f t="shared" si="81"/>
        <v>0.010349424022366445</v>
      </c>
      <c r="G796" s="30">
        <v>3000</v>
      </c>
      <c r="H796" s="84"/>
      <c r="I796" s="54">
        <f t="shared" si="83"/>
        <v>100</v>
      </c>
      <c r="J796" s="37">
        <f t="shared" si="82"/>
        <v>0.011906545836065534</v>
      </c>
      <c r="K796" s="90"/>
    </row>
    <row r="797" spans="1:11" ht="12.75">
      <c r="A797" s="165"/>
      <c r="B797" s="170"/>
      <c r="C797" s="4" t="s">
        <v>121</v>
      </c>
      <c r="D797" s="4" t="s">
        <v>122</v>
      </c>
      <c r="E797" s="6">
        <v>400</v>
      </c>
      <c r="F797" s="116">
        <f t="shared" si="81"/>
        <v>0.0013799232029821926</v>
      </c>
      <c r="G797" s="30">
        <v>500</v>
      </c>
      <c r="H797" s="84"/>
      <c r="I797" s="54">
        <f t="shared" si="83"/>
        <v>125</v>
      </c>
      <c r="J797" s="37">
        <f t="shared" si="82"/>
        <v>0.001984424306010922</v>
      </c>
      <c r="K797" s="90"/>
    </row>
    <row r="798" spans="1:11" ht="12" customHeight="1">
      <c r="A798" s="165"/>
      <c r="B798" s="170"/>
      <c r="C798" s="4" t="s">
        <v>115</v>
      </c>
      <c r="D798" s="4" t="s">
        <v>176</v>
      </c>
      <c r="E798" s="6">
        <v>7658.51</v>
      </c>
      <c r="F798" s="116">
        <f t="shared" si="81"/>
        <v>0.026420389123177884</v>
      </c>
      <c r="G798" s="30">
        <v>5800</v>
      </c>
      <c r="H798" s="84"/>
      <c r="I798" s="54">
        <f t="shared" si="83"/>
        <v>75.73274697036368</v>
      </c>
      <c r="J798" s="37">
        <f t="shared" si="82"/>
        <v>0.023019321949726695</v>
      </c>
      <c r="K798" s="90"/>
    </row>
    <row r="799" spans="1:11" ht="22.5">
      <c r="A799" s="165"/>
      <c r="B799" s="170"/>
      <c r="C799" s="49">
        <v>4700</v>
      </c>
      <c r="D799" s="4" t="s">
        <v>137</v>
      </c>
      <c r="E799" s="6">
        <v>300</v>
      </c>
      <c r="F799" s="116">
        <f t="shared" si="81"/>
        <v>0.0010349424022366447</v>
      </c>
      <c r="G799" s="30">
        <v>300</v>
      </c>
      <c r="H799" s="84"/>
      <c r="I799" s="54">
        <f t="shared" si="83"/>
        <v>100</v>
      </c>
      <c r="J799" s="37">
        <f t="shared" si="82"/>
        <v>0.0011906545836065535</v>
      </c>
      <c r="K799" s="90"/>
    </row>
    <row r="800" spans="1:11" ht="15.75" customHeight="1">
      <c r="A800" s="165"/>
      <c r="B800" s="170"/>
      <c r="C800" s="168">
        <v>6057</v>
      </c>
      <c r="D800" s="23" t="s">
        <v>72</v>
      </c>
      <c r="E800" s="6">
        <f>E801</f>
        <v>3031227.5</v>
      </c>
      <c r="F800" s="116">
        <f t="shared" si="81"/>
        <v>10.457152901919262</v>
      </c>
      <c r="G800" s="6">
        <f>G801</f>
        <v>0</v>
      </c>
      <c r="H800" s="6">
        <f>H801</f>
        <v>0</v>
      </c>
      <c r="I800" s="54"/>
      <c r="J800" s="37">
        <f t="shared" si="82"/>
        <v>0</v>
      </c>
      <c r="K800" s="90"/>
    </row>
    <row r="801" spans="1:11" ht="10.5" customHeight="1" hidden="1">
      <c r="A801" s="165"/>
      <c r="B801" s="170"/>
      <c r="C801" s="167"/>
      <c r="D801" s="25" t="s">
        <v>277</v>
      </c>
      <c r="E801" s="6">
        <v>3031227.5</v>
      </c>
      <c r="F801" s="116">
        <f t="shared" si="81"/>
        <v>10.457152901919262</v>
      </c>
      <c r="G801" s="30"/>
      <c r="H801" s="84"/>
      <c r="I801" s="54"/>
      <c r="J801" s="37">
        <f t="shared" si="82"/>
        <v>0</v>
      </c>
      <c r="K801" s="138" t="s">
        <v>401</v>
      </c>
    </row>
    <row r="802" spans="1:11" s="32" customFormat="1" ht="12.75" customHeight="1">
      <c r="A802" s="181"/>
      <c r="B802" s="170"/>
      <c r="C802" s="169">
        <v>6059</v>
      </c>
      <c r="D802" s="23" t="s">
        <v>72</v>
      </c>
      <c r="E802" s="48">
        <f>E803</f>
        <v>699264.57</v>
      </c>
      <c r="F802" s="116">
        <f t="shared" si="81"/>
        <v>2.412328512915914</v>
      </c>
      <c r="G802" s="48">
        <f>G803</f>
        <v>0</v>
      </c>
      <c r="H802" s="48"/>
      <c r="I802" s="54"/>
      <c r="J802" s="37">
        <f t="shared" si="82"/>
        <v>0</v>
      </c>
      <c r="K802" s="139"/>
    </row>
    <row r="803" spans="1:11" ht="12.75" customHeight="1">
      <c r="A803" s="181"/>
      <c r="B803" s="162"/>
      <c r="C803" s="153"/>
      <c r="D803" s="25" t="s">
        <v>277</v>
      </c>
      <c r="E803" s="6">
        <v>699264.57</v>
      </c>
      <c r="F803" s="116">
        <f t="shared" si="81"/>
        <v>2.412328512915914</v>
      </c>
      <c r="G803" s="30"/>
      <c r="H803" s="84"/>
      <c r="I803" s="54"/>
      <c r="J803" s="37">
        <f t="shared" si="82"/>
        <v>0</v>
      </c>
      <c r="K803" s="90"/>
    </row>
    <row r="804" spans="1:11" ht="10.5" customHeight="1">
      <c r="A804" s="181"/>
      <c r="B804" s="162"/>
      <c r="C804" s="73">
        <v>6060</v>
      </c>
      <c r="D804" s="23" t="s">
        <v>72</v>
      </c>
      <c r="E804" s="6"/>
      <c r="F804" s="116">
        <f aca="true" t="shared" si="84" ref="F804:F812">(E804/$E$807)*100</f>
        <v>0</v>
      </c>
      <c r="G804" s="30">
        <v>6050</v>
      </c>
      <c r="H804" s="84"/>
      <c r="I804" s="54"/>
      <c r="J804" s="37"/>
      <c r="K804" s="90"/>
    </row>
    <row r="805" spans="1:11" s="71" customFormat="1" ht="22.5">
      <c r="A805" s="181"/>
      <c r="B805" s="162"/>
      <c r="C805" s="132">
        <v>6067</v>
      </c>
      <c r="D805" s="72" t="s">
        <v>354</v>
      </c>
      <c r="E805" s="6"/>
      <c r="F805" s="116">
        <f t="shared" si="84"/>
        <v>0</v>
      </c>
      <c r="G805" s="30"/>
      <c r="H805" s="84"/>
      <c r="I805" s="54"/>
      <c r="J805" s="37"/>
      <c r="K805" s="91"/>
    </row>
    <row r="806" spans="1:11" s="71" customFormat="1" ht="22.5">
      <c r="A806" s="181"/>
      <c r="B806" s="162"/>
      <c r="C806" s="132">
        <v>6069</v>
      </c>
      <c r="D806" s="72" t="s">
        <v>354</v>
      </c>
      <c r="E806" s="6"/>
      <c r="F806" s="116">
        <f t="shared" si="84"/>
        <v>0</v>
      </c>
      <c r="G806" s="30"/>
      <c r="H806" s="84"/>
      <c r="I806" s="54"/>
      <c r="J806" s="37"/>
      <c r="K806" s="91"/>
    </row>
    <row r="807" spans="1:11" ht="16.5" customHeight="1">
      <c r="A807" s="182"/>
      <c r="B807" s="163"/>
      <c r="C807" s="36"/>
      <c r="D807" s="58" t="s">
        <v>322</v>
      </c>
      <c r="E807" s="5">
        <f>E4+E33+E76+E98+E107+E194+E218+E246+E252+E259+E486+E508+E637+E663+E679+E725+E741</f>
        <v>28987120.380000003</v>
      </c>
      <c r="F807" s="116">
        <f t="shared" si="84"/>
        <v>100</v>
      </c>
      <c r="G807" s="5">
        <f>G4+G33+G76+G98+G107+G194+G218+G246+G252+G259+G486+G508+G637+G663+G679+G725+G741</f>
        <v>25196224.339999996</v>
      </c>
      <c r="H807" s="5" t="e">
        <f>H4+H33+H76+H98+H107+H194+#REF!+H218+H246+H252+H259+H486+H508+H637+H663+H679++H725+H741</f>
        <v>#REF!</v>
      </c>
      <c r="I807" s="54">
        <f t="shared" si="83"/>
        <v>86.9221364857767</v>
      </c>
      <c r="J807" s="37">
        <f t="shared" si="82"/>
        <v>100</v>
      </c>
      <c r="K807" s="93"/>
    </row>
    <row r="808" spans="1:10" s="17" customFormat="1" ht="11.25">
      <c r="A808" s="65"/>
      <c r="B808" s="66"/>
      <c r="C808" s="66">
        <v>1</v>
      </c>
      <c r="D808" s="18" t="s">
        <v>227</v>
      </c>
      <c r="E808" s="48">
        <f>E5+E34+E77+E99+E108+E195+E219+E247+E253+E260+E487+E509+E639+E664+E680+E726+E742</f>
        <v>22828733.46</v>
      </c>
      <c r="F808" s="116">
        <f t="shared" si="84"/>
        <v>78.75474749037488</v>
      </c>
      <c r="G808" s="48">
        <f>G5+G34+G77+G99+G108+G195+G219+G247+G253+G260+G487+G509+G639+G664+G680+G726+G742</f>
        <v>23234588.33</v>
      </c>
      <c r="H808" s="48" t="e">
        <f>H5+H34+H77+H99+H108+H195+#REF!+H219+H247+H253+H260+H487+H509+H639+H664+H680+H726+H742</f>
        <v>#VALUE!</v>
      </c>
      <c r="I808" s="38">
        <f aca="true" t="shared" si="85" ref="I808:I814">(G808/E808)*100</f>
        <v>101.77782473439065</v>
      </c>
      <c r="J808" s="37">
        <f t="shared" si="82"/>
        <v>92.21456364441943</v>
      </c>
    </row>
    <row r="809" spans="1:10" s="17" customFormat="1" ht="11.25">
      <c r="A809" s="65"/>
      <c r="B809" s="66"/>
      <c r="C809" s="66">
        <v>2</v>
      </c>
      <c r="D809" s="20" t="s">
        <v>226</v>
      </c>
      <c r="E809" s="26">
        <f>E743+E727+E681+E665+E510+E488+E262+E220+E196+E110+E100+E78+E35+E7</f>
        <v>6081386.92</v>
      </c>
      <c r="F809" s="116">
        <f t="shared" si="84"/>
        <v>20.97961729305103</v>
      </c>
      <c r="G809" s="26">
        <f>G743+G727+G681+G665+G510+G488+G262+G220+G196+G110+G100+G78+G35+G7</f>
        <v>1941636.01</v>
      </c>
      <c r="H809" s="26" t="e">
        <f>H743+H727+H681+H665+H510+H488+H262+H220+#REF!+H196+H110+H100+H78+H35+H7</f>
        <v>#REF!</v>
      </c>
      <c r="I809" s="38">
        <f t="shared" si="85"/>
        <v>31.927519750708445</v>
      </c>
      <c r="J809" s="37">
        <f t="shared" si="82"/>
        <v>7.706059383340132</v>
      </c>
    </row>
    <row r="810" spans="1:10" s="17" customFormat="1" ht="11.25">
      <c r="A810" s="65"/>
      <c r="B810" s="66"/>
      <c r="C810" s="66">
        <v>3</v>
      </c>
      <c r="D810" s="21" t="s">
        <v>228</v>
      </c>
      <c r="E810" s="26">
        <f>E728+E80+E36+E683</f>
        <v>77000</v>
      </c>
      <c r="F810" s="116">
        <f t="shared" si="84"/>
        <v>0.2656352165740721</v>
      </c>
      <c r="G810" s="26">
        <f>G728+G80+G36+G683</f>
        <v>20000</v>
      </c>
      <c r="H810" s="26">
        <f>H728+H80+H36+H683</f>
        <v>0</v>
      </c>
      <c r="I810" s="38">
        <f t="shared" si="85"/>
        <v>25.97402597402597</v>
      </c>
      <c r="J810" s="37">
        <f t="shared" si="82"/>
        <v>0.0793769722404369</v>
      </c>
    </row>
    <row r="811" spans="1:10" s="17" customFormat="1" ht="11.25">
      <c r="A811" s="65"/>
      <c r="B811" s="66"/>
      <c r="C811" s="66"/>
      <c r="D811" s="21" t="s">
        <v>324</v>
      </c>
      <c r="E811" s="26">
        <f>SUM(E809:E810)</f>
        <v>6158386.92</v>
      </c>
      <c r="F811" s="116">
        <f t="shared" si="84"/>
        <v>21.2452525096251</v>
      </c>
      <c r="G811" s="26">
        <f>SUM(G809:G810)</f>
        <v>1961636.01</v>
      </c>
      <c r="H811" s="26" t="e">
        <f>SUM(H809:H810)</f>
        <v>#REF!</v>
      </c>
      <c r="I811" s="38">
        <f t="shared" si="85"/>
        <v>31.853081585851385</v>
      </c>
      <c r="J811" s="37">
        <f t="shared" si="82"/>
        <v>7.785436355580569</v>
      </c>
    </row>
    <row r="812" spans="1:11" s="17" customFormat="1" ht="16.5" customHeight="1">
      <c r="A812" s="65"/>
      <c r="B812" s="66"/>
      <c r="C812" s="66">
        <v>4</v>
      </c>
      <c r="D812" s="104" t="s">
        <v>323</v>
      </c>
      <c r="E812" s="26">
        <f>SUM(E808:E810)</f>
        <v>28987120.380000003</v>
      </c>
      <c r="F812" s="116">
        <f t="shared" si="84"/>
        <v>100</v>
      </c>
      <c r="G812" s="26">
        <f>SUM(G808:G810)</f>
        <v>25196224.34</v>
      </c>
      <c r="H812" s="26" t="e">
        <f>SUM(H808:H810)</f>
        <v>#VALUE!</v>
      </c>
      <c r="I812" s="38">
        <f t="shared" si="85"/>
        <v>86.92213648577672</v>
      </c>
      <c r="J812" s="37">
        <f t="shared" si="82"/>
        <v>100.00000000000003</v>
      </c>
      <c r="K812" s="91"/>
    </row>
    <row r="813" spans="1:10" s="17" customFormat="1" ht="11.25">
      <c r="A813" s="65"/>
      <c r="B813" s="66"/>
      <c r="C813" s="66">
        <v>5</v>
      </c>
      <c r="D813" s="22" t="s">
        <v>247</v>
      </c>
      <c r="E813" s="28">
        <f>E746+E730+E512+E489+E265+E113+E685+E82</f>
        <v>2249128.94</v>
      </c>
      <c r="F813" s="116">
        <f aca="true" t="shared" si="86" ref="F813:F831">(E813/$E$807)*100</f>
        <v>7.759063027011861</v>
      </c>
      <c r="G813" s="28">
        <f>G746+G730+G512+G489+G265+G113+G685+G82</f>
        <v>2691355.9299999997</v>
      </c>
      <c r="H813" s="28" t="e">
        <f>H746+H730+H512+H489+H265+H113+H685+H82</f>
        <v>#REF!</v>
      </c>
      <c r="I813" s="38">
        <f t="shared" si="85"/>
        <v>119.66214484795165</v>
      </c>
      <c r="J813" s="37">
        <f t="shared" si="82"/>
        <v>10.681584247237259</v>
      </c>
    </row>
    <row r="814" spans="1:10" s="17" customFormat="1" ht="11.25">
      <c r="A814" s="65"/>
      <c r="B814" s="66"/>
      <c r="C814" s="66"/>
      <c r="D814" s="66" t="s">
        <v>359</v>
      </c>
      <c r="E814" s="62">
        <f>E26+E116+E194+E506+E542+E564+E626</f>
        <v>3554575.85</v>
      </c>
      <c r="F814" s="116">
        <f t="shared" si="86"/>
        <v>12.262604230437876</v>
      </c>
      <c r="G814" s="62">
        <f>G26+G116+G194+G506+G542+G564+G626</f>
        <v>3412684</v>
      </c>
      <c r="H814" s="62" t="e">
        <f>H26+H116+H194+H506+H542+H564+H626</f>
        <v>#REF!</v>
      </c>
      <c r="I814" s="38">
        <f t="shared" si="85"/>
        <v>96.00819180718847</v>
      </c>
      <c r="J814" s="37"/>
    </row>
    <row r="815" spans="1:10" s="17" customFormat="1" ht="11.25">
      <c r="A815" s="65"/>
      <c r="B815" s="66"/>
      <c r="C815" s="66"/>
      <c r="D815" s="12"/>
      <c r="E815" s="28"/>
      <c r="F815" s="116">
        <f t="shared" si="86"/>
        <v>0</v>
      </c>
      <c r="G815" s="28"/>
      <c r="H815" s="34"/>
      <c r="I815" s="38"/>
      <c r="J815" s="37"/>
    </row>
    <row r="816" spans="1:10" ht="12.75">
      <c r="A816" s="67"/>
      <c r="B816" s="51"/>
      <c r="C816" s="66">
        <v>6</v>
      </c>
      <c r="D816" s="63" t="s">
        <v>244</v>
      </c>
      <c r="E816" s="64"/>
      <c r="F816" s="116">
        <f t="shared" si="86"/>
        <v>0</v>
      </c>
      <c r="G816" s="52"/>
      <c r="H816" s="52"/>
      <c r="I816" s="68"/>
      <c r="J816" s="37"/>
    </row>
    <row r="817" spans="1:10" ht="12.75">
      <c r="A817" s="67"/>
      <c r="B817" s="51"/>
      <c r="C817" s="66">
        <v>7</v>
      </c>
      <c r="D817" s="47" t="s">
        <v>245</v>
      </c>
      <c r="E817" s="64"/>
      <c r="F817" s="116">
        <f t="shared" si="86"/>
        <v>0</v>
      </c>
      <c r="G817" s="52"/>
      <c r="H817" s="52"/>
      <c r="I817" s="68"/>
      <c r="J817" s="69"/>
    </row>
    <row r="818" spans="1:10" ht="12.75">
      <c r="A818" s="67"/>
      <c r="B818" s="51"/>
      <c r="C818" s="51"/>
      <c r="D818" s="51" t="s">
        <v>250</v>
      </c>
      <c r="E818" s="64">
        <f>E807-E809-E810</f>
        <v>22828733.46</v>
      </c>
      <c r="F818" s="116">
        <f t="shared" si="86"/>
        <v>78.75474749037488</v>
      </c>
      <c r="G818" s="52">
        <f>G807-G809-G810</f>
        <v>23234588.329999994</v>
      </c>
      <c r="H818" s="52" t="e">
        <f>H807-H809-H810</f>
        <v>#REF!</v>
      </c>
      <c r="I818" s="68"/>
      <c r="J818" s="69"/>
    </row>
    <row r="819" spans="1:10" ht="12.75">
      <c r="A819" s="67"/>
      <c r="B819" s="51"/>
      <c r="C819" s="51"/>
      <c r="D819" s="51"/>
      <c r="E819" s="64">
        <f>E808-E818</f>
        <v>0</v>
      </c>
      <c r="F819" s="116">
        <f t="shared" si="86"/>
        <v>0</v>
      </c>
      <c r="G819" s="52">
        <f>G808-G818</f>
        <v>0</v>
      </c>
      <c r="H819" s="52" t="e">
        <f>H808-H818</f>
        <v>#VALUE!</v>
      </c>
      <c r="I819" s="68"/>
      <c r="J819" s="69"/>
    </row>
    <row r="820" spans="1:10" s="71" customFormat="1" ht="12.75">
      <c r="A820" s="76"/>
      <c r="D820" s="77" t="s">
        <v>326</v>
      </c>
      <c r="E820" s="78"/>
      <c r="F820" s="116">
        <f t="shared" si="86"/>
        <v>0</v>
      </c>
      <c r="G820" s="78">
        <f>G744+G682+G637+G263+G261+G221+G109+G79+G50+G8</f>
        <v>1038662.21</v>
      </c>
      <c r="H820" s="78" t="e">
        <f>H338+H372+H366+H369+H378+#REF!+#REF!++#REF!+H693+H769+H800+H291+H642+H645+H647+H649+H651+H652+H653+H654+H656+H658+H662</f>
        <v>#REF!</v>
      </c>
      <c r="I820" s="79"/>
      <c r="J820" s="80"/>
    </row>
    <row r="821" spans="4:10" ht="12.75">
      <c r="D821" s="10" t="s">
        <v>360</v>
      </c>
      <c r="E821" s="102"/>
      <c r="F821" s="116">
        <f t="shared" si="86"/>
        <v>0</v>
      </c>
      <c r="H821" s="31" t="e">
        <f>#REF!+#REF!+H695+#REF!+H802+H774</f>
        <v>#REF!</v>
      </c>
      <c r="J821" s="123"/>
    </row>
    <row r="822" spans="4:10" ht="12.75">
      <c r="D822" s="10" t="s">
        <v>361</v>
      </c>
      <c r="E822" s="103"/>
      <c r="F822" s="116">
        <f t="shared" si="86"/>
        <v>0</v>
      </c>
      <c r="G822" s="101"/>
      <c r="H822" s="31" t="e">
        <f>SUM(H820:H821)</f>
        <v>#REF!</v>
      </c>
      <c r="J822" s="124"/>
    </row>
    <row r="823" spans="5:10" ht="12.75">
      <c r="E823" s="103"/>
      <c r="F823" s="116">
        <f t="shared" si="86"/>
        <v>0</v>
      </c>
      <c r="G823" s="101"/>
      <c r="J823" s="124"/>
    </row>
    <row r="824" spans="5:10" ht="12.75">
      <c r="E824" s="103"/>
      <c r="F824" s="116">
        <f t="shared" si="86"/>
        <v>0</v>
      </c>
      <c r="G824" s="101"/>
      <c r="J824" s="124"/>
    </row>
    <row r="825" spans="4:10" ht="12.75">
      <c r="D825" s="10" t="s">
        <v>309</v>
      </c>
      <c r="E825" s="102"/>
      <c r="F825" s="116">
        <f t="shared" si="86"/>
        <v>0</v>
      </c>
      <c r="G825" s="64" t="s">
        <v>373</v>
      </c>
      <c r="J825" s="124"/>
    </row>
    <row r="826" spans="4:10" ht="12.75">
      <c r="D826" s="105">
        <v>4010</v>
      </c>
      <c r="E826" s="100">
        <f>E27+E56+E119+E151+E274+E275+E276+E322+E355+E356+E357+E403+E425+E448+E473+E496+E521+E546+E576+E601+E614+E645+E646+E669+E749+E787+E390+E631+E323+E426+E427</f>
        <v>6439078.94</v>
      </c>
      <c r="F826" s="116">
        <f t="shared" si="86"/>
        <v>22.213586087849958</v>
      </c>
      <c r="G826" s="100">
        <f>G27+G56+G119+G151+G274+G275+G276+G322+G355+G356+G357+G403+G425+G448+G473+G496+G521+G546+G576+G601+G614+G645+G646+G669+G749+G787+G390+G631+G323+G426+G427</f>
        <v>6317114.6</v>
      </c>
      <c r="H826" s="100" t="e">
        <f>H27+H56+H119+H151+H274+H275+H276+#REF!+H322+H355+H356+H357+H403+H425+#REF!+H448+#REF!+#REF!+H473+H496+#REF!+H521+H546+H576+H601+H614+H645+H646+H669+H749+H787+H390+H631+H323</f>
        <v>#REF!</v>
      </c>
      <c r="J826" s="124"/>
    </row>
    <row r="827" spans="4:10" ht="12.75">
      <c r="D827" s="105">
        <v>4040</v>
      </c>
      <c r="E827" s="100">
        <f>E57+E122+E152+E277+E324+E358+E391+E404+E428+E449+E474+E497+E522+E547+E577+E602+E615+E647+E670+E750+E788</f>
        <v>482855.85</v>
      </c>
      <c r="F827" s="116">
        <f t="shared" si="86"/>
        <v>1.6657599777767231</v>
      </c>
      <c r="G827" s="100">
        <f>G57+G122+G152+G277+G324+G358+G391+G404+G428+G449+G474+G497+G522+G547+G577+G602+G615+G647+G670+G750+G788</f>
        <v>522867.1</v>
      </c>
      <c r="J827" s="124"/>
    </row>
    <row r="828" spans="4:10" ht="12.75">
      <c r="D828" s="105">
        <v>4110</v>
      </c>
      <c r="E828" s="100">
        <f>E28+E58+E125+E153+E185+E198+E278+E279+E280+E325+E359+E360+E361+E392+E405+E429+E450+E475+E498+E523+E538+E548+E578+E603+E616+E649+E671+E751+E789+E632+E326+E430+E431</f>
        <v>1248252.47</v>
      </c>
      <c r="F828" s="116">
        <f t="shared" si="86"/>
        <v>4.306231366332083</v>
      </c>
      <c r="G828" s="100">
        <f>G28+G58+G125+G153+G185+G198+G278+G279+G280+G325+G359+G360+G361+G392+G405+G429+G450+G475+G498+G523+G538+G548+G578+G603+G616+G649+G671+G751+G789+G632+G326+G430+G431</f>
        <v>1236427.5499999998</v>
      </c>
      <c r="J828" s="124"/>
    </row>
    <row r="829" spans="4:10" ht="12.75">
      <c r="D829" s="105">
        <v>4120</v>
      </c>
      <c r="E829" s="100">
        <f>E59+E128+E154+E186+E199+E281+E282+E283+E327+E362+E363+E364+E393+E406+E432+E451+E499+E524+E549+E579+E604+E617+E651+E672+E752+E790+E633+E328</f>
        <v>143468.54</v>
      </c>
      <c r="F829" s="116">
        <f t="shared" si="86"/>
        <v>0.49493891810994717</v>
      </c>
      <c r="G829" s="100">
        <f>G59+G128+G154+G186+G199+G281+G282+G283+G327+G362+G363+G364+G393+G406+G432+G451+G499+G524+G549+G579+G604+G617+G651+G672+G752+G790+G633+G328+G433+G434</f>
        <v>161748.23</v>
      </c>
      <c r="J829" s="124"/>
    </row>
    <row r="830" spans="4:10" ht="12.75">
      <c r="D830" s="105">
        <v>4170</v>
      </c>
      <c r="E830" s="100">
        <f>E60+E156+E187+E200+E227+E239+E284+E285+E286+E329+E365+E366+E367+E394+E408+E452+E483+E500+E525+E580+E605+E753+E791+E86+E539+E435+E436+E330+E206+E214</f>
        <v>342472.77</v>
      </c>
      <c r="F830" s="116">
        <f t="shared" si="86"/>
        <v>1.1814653042814596</v>
      </c>
      <c r="G830" s="100">
        <f>G60+G156+G187+G200+G227+G239+G284+G285+G286+G329+G365+G366+G367+G394+G408+G452+G483+G500+G525+G580+G605+G753+G791+G86+G539+G435+G436+G330+G206+G214</f>
        <v>262353.01</v>
      </c>
      <c r="H830" s="100" t="e">
        <f>H60+H131+H156+H187+H200+H227+H239+H284+H285+H286+H329+H365+H366+H367+H394+H408+H452+#REF!+#REF!+#REF!+H483+H500+H525+H580+H605+H753+H791+H86+H539+#REF!+#REF!+H435+H436</f>
        <v>#REF!</v>
      </c>
      <c r="J830" s="124"/>
    </row>
    <row r="831" spans="4:10" ht="12.75">
      <c r="D831" s="105">
        <v>4100</v>
      </c>
      <c r="E831" s="100">
        <f>E184</f>
        <v>55000</v>
      </c>
      <c r="F831" s="116">
        <f t="shared" si="86"/>
        <v>0.1897394404100515</v>
      </c>
      <c r="G831" s="100">
        <f>G184</f>
        <v>57000</v>
      </c>
      <c r="J831" s="124"/>
    </row>
    <row r="832" spans="4:10" ht="12.75">
      <c r="D832" s="105"/>
      <c r="E832" s="100"/>
      <c r="F832" s="100"/>
      <c r="G832" s="101"/>
      <c r="J832" s="124"/>
    </row>
    <row r="833" spans="4:10" ht="12.75">
      <c r="D833" s="105"/>
      <c r="E833" s="100">
        <f>E826+E827+E828+E829+E830+E831</f>
        <v>8711128.57</v>
      </c>
      <c r="F833" s="100"/>
      <c r="G833" s="100">
        <f>G826+G827+G828+G829+G830+G831</f>
        <v>8557510.49</v>
      </c>
      <c r="J833" s="124"/>
    </row>
    <row r="834" spans="4:10" ht="12.75">
      <c r="D834" s="10" t="s">
        <v>364</v>
      </c>
      <c r="E834" s="100"/>
      <c r="F834" s="100"/>
      <c r="G834" s="100"/>
      <c r="J834" s="124"/>
    </row>
    <row r="835" spans="4:10" ht="12.75">
      <c r="D835" s="10" t="s">
        <v>363</v>
      </c>
      <c r="J835" s="124"/>
    </row>
    <row r="836" spans="4:10" ht="12.75">
      <c r="D836" s="10" t="s">
        <v>365</v>
      </c>
      <c r="J836" s="124"/>
    </row>
    <row r="837" spans="4:10" ht="12.75">
      <c r="D837" s="10" t="s">
        <v>355</v>
      </c>
      <c r="J837" s="124"/>
    </row>
    <row r="838" ht="12.75">
      <c r="J838" s="124"/>
    </row>
    <row r="839" spans="4:10" ht="22.5">
      <c r="D839" s="118" t="s">
        <v>366</v>
      </c>
      <c r="J839" s="124"/>
    </row>
    <row r="840" spans="4:10" ht="12.75">
      <c r="D840" s="105" t="s">
        <v>356</v>
      </c>
      <c r="J840" s="124"/>
    </row>
    <row r="841" spans="4:10" ht="12.75">
      <c r="D841" s="105" t="s">
        <v>299</v>
      </c>
      <c r="J841" s="124"/>
    </row>
    <row r="842" spans="4:10" ht="12.75">
      <c r="D842" s="105" t="s">
        <v>311</v>
      </c>
      <c r="J842" s="124"/>
    </row>
    <row r="843" spans="4:10" ht="12.75">
      <c r="D843" s="105" t="s">
        <v>357</v>
      </c>
      <c r="J843" s="124"/>
    </row>
    <row r="844" spans="4:10" ht="12.75">
      <c r="D844" s="105" t="s">
        <v>358</v>
      </c>
      <c r="J844" s="124"/>
    </row>
    <row r="845" ht="12.75">
      <c r="J845" s="124"/>
    </row>
    <row r="846" ht="12.75">
      <c r="J846" s="124"/>
    </row>
    <row r="847" ht="12.75">
      <c r="J847" s="124"/>
    </row>
    <row r="848" ht="12.75">
      <c r="J848" s="124"/>
    </row>
    <row r="849" ht="12.75">
      <c r="J849" s="124"/>
    </row>
    <row r="850" ht="12.75">
      <c r="J850" s="124"/>
    </row>
    <row r="851" ht="12.75">
      <c r="J851" s="124"/>
    </row>
    <row r="852" ht="12.75">
      <c r="J852" s="124"/>
    </row>
    <row r="853" ht="12.75">
      <c r="J853" s="124"/>
    </row>
    <row r="854" ht="12.75">
      <c r="J854" s="124"/>
    </row>
    <row r="855" ht="12.75">
      <c r="J855" s="124"/>
    </row>
    <row r="856" ht="12.75">
      <c r="J856" s="124"/>
    </row>
    <row r="857" ht="12.75">
      <c r="J857" s="124"/>
    </row>
    <row r="858" ht="12.75">
      <c r="J858" s="124"/>
    </row>
    <row r="859" ht="12.75">
      <c r="J859" s="124"/>
    </row>
    <row r="860" ht="12.75">
      <c r="J860" s="124"/>
    </row>
    <row r="861" ht="12.75">
      <c r="J861" s="124"/>
    </row>
    <row r="862" ht="12.75">
      <c r="J862" s="124"/>
    </row>
    <row r="863" ht="12.75">
      <c r="J863" s="124"/>
    </row>
    <row r="864" ht="12.75">
      <c r="J864" s="124"/>
    </row>
    <row r="865" ht="12.75">
      <c r="J865" s="124"/>
    </row>
    <row r="866" ht="12.75">
      <c r="J866" s="124"/>
    </row>
    <row r="867" ht="12.75">
      <c r="J867" s="124"/>
    </row>
    <row r="868" ht="12.75">
      <c r="J868" s="124"/>
    </row>
    <row r="869" ht="12.75">
      <c r="J869" s="124"/>
    </row>
    <row r="870" ht="12.75">
      <c r="J870" s="124"/>
    </row>
    <row r="871" ht="12.75">
      <c r="J871" s="124"/>
    </row>
    <row r="872" ht="12.75">
      <c r="J872" s="124"/>
    </row>
    <row r="873" ht="12.75">
      <c r="J873" s="124"/>
    </row>
    <row r="874" ht="12.75">
      <c r="J874" s="124"/>
    </row>
    <row r="875" ht="12.75">
      <c r="J875" s="124"/>
    </row>
    <row r="876" ht="12.75">
      <c r="J876" s="124"/>
    </row>
    <row r="877" ht="12.75">
      <c r="J877" s="124"/>
    </row>
    <row r="878" ht="12.75">
      <c r="J878" s="124"/>
    </row>
    <row r="879" ht="12.75">
      <c r="J879" s="124"/>
    </row>
    <row r="880" ht="12.75">
      <c r="J880" s="124"/>
    </row>
    <row r="881" ht="12.75">
      <c r="J881" s="124"/>
    </row>
    <row r="882" ht="12.75">
      <c r="J882" s="124"/>
    </row>
    <row r="883" ht="12.75">
      <c r="J883" s="124"/>
    </row>
    <row r="884" ht="12.75">
      <c r="J884" s="124"/>
    </row>
    <row r="885" ht="12.75">
      <c r="J885" s="124"/>
    </row>
    <row r="886" ht="12.75">
      <c r="J886" s="124"/>
    </row>
    <row r="887" ht="12.75">
      <c r="J887" s="124"/>
    </row>
    <row r="888" ht="12.75">
      <c r="J888" s="124"/>
    </row>
    <row r="889" ht="12.75">
      <c r="J889" s="124"/>
    </row>
    <row r="890" ht="12.75">
      <c r="J890" s="124"/>
    </row>
    <row r="891" ht="12.75">
      <c r="J891" s="124"/>
    </row>
    <row r="892" ht="12.75">
      <c r="J892" s="124"/>
    </row>
    <row r="893" ht="12.75">
      <c r="J893" s="124"/>
    </row>
    <row r="894" ht="12.75">
      <c r="J894" s="124"/>
    </row>
    <row r="895" ht="12.75">
      <c r="J895" s="124"/>
    </row>
    <row r="896" ht="12.75">
      <c r="J896" s="124"/>
    </row>
    <row r="897" ht="12.75">
      <c r="J897" s="124"/>
    </row>
    <row r="898" ht="12.75">
      <c r="J898" s="124"/>
    </row>
    <row r="899" ht="12.75">
      <c r="J899" s="124"/>
    </row>
    <row r="900" ht="12.75">
      <c r="J900" s="124"/>
    </row>
    <row r="901" ht="12.75">
      <c r="J901" s="124"/>
    </row>
    <row r="902" ht="12.75">
      <c r="J902" s="124"/>
    </row>
    <row r="903" ht="12.75">
      <c r="J903" s="124"/>
    </row>
    <row r="904" ht="12.75">
      <c r="J904" s="124"/>
    </row>
    <row r="905" ht="12.75">
      <c r="J905" s="124"/>
    </row>
    <row r="906" ht="12.75">
      <c r="J906" s="124"/>
    </row>
    <row r="907" ht="12.75">
      <c r="J907" s="124"/>
    </row>
    <row r="908" ht="12.75">
      <c r="J908" s="124"/>
    </row>
    <row r="909" ht="12.75">
      <c r="J909" s="124"/>
    </row>
    <row r="910" ht="12.75">
      <c r="J910" s="124"/>
    </row>
    <row r="911" ht="12.75">
      <c r="J911" s="124"/>
    </row>
    <row r="912" ht="12.75">
      <c r="J912" s="124"/>
    </row>
    <row r="913" ht="12.75">
      <c r="J913" s="124"/>
    </row>
    <row r="914" ht="12.75">
      <c r="J914" s="124"/>
    </row>
    <row r="915" ht="12.75">
      <c r="J915" s="124"/>
    </row>
    <row r="916" ht="12.75">
      <c r="J916" s="124"/>
    </row>
  </sheetData>
  <sheetProtection/>
  <mergeCells count="98">
    <mergeCell ref="C800:C801"/>
    <mergeCell ref="C802:C803"/>
    <mergeCell ref="A725:A738"/>
    <mergeCell ref="B732:B734"/>
    <mergeCell ref="B735:B736"/>
    <mergeCell ref="B737:B738"/>
    <mergeCell ref="A741:A807"/>
    <mergeCell ref="B747:B778"/>
    <mergeCell ref="B780:B784"/>
    <mergeCell ref="B785:B807"/>
    <mergeCell ref="C693:C694"/>
    <mergeCell ref="C695:C696"/>
    <mergeCell ref="B697:B702"/>
    <mergeCell ref="B703:B704"/>
    <mergeCell ref="B705:B707"/>
    <mergeCell ref="B708:B712"/>
    <mergeCell ref="A663:A678"/>
    <mergeCell ref="B666:B674"/>
    <mergeCell ref="B676:B678"/>
    <mergeCell ref="A508:A636"/>
    <mergeCell ref="A679:A724"/>
    <mergeCell ref="B686:B696"/>
    <mergeCell ref="B713:B715"/>
    <mergeCell ref="B716:B724"/>
    <mergeCell ref="B541:B561"/>
    <mergeCell ref="B562:B565"/>
    <mergeCell ref="B612:B624"/>
    <mergeCell ref="B625:B636"/>
    <mergeCell ref="A637:A662"/>
    <mergeCell ref="B638:B662"/>
    <mergeCell ref="B566:B568"/>
    <mergeCell ref="B569:B571"/>
    <mergeCell ref="B574:B597"/>
    <mergeCell ref="B482:B485"/>
    <mergeCell ref="B516:B517"/>
    <mergeCell ref="B518:B534"/>
    <mergeCell ref="B535:B536"/>
    <mergeCell ref="B598:B611"/>
    <mergeCell ref="B537:B540"/>
    <mergeCell ref="A486:A507"/>
    <mergeCell ref="B490:B492"/>
    <mergeCell ref="B493:B505"/>
    <mergeCell ref="B506:B507"/>
    <mergeCell ref="B388:B400"/>
    <mergeCell ref="B401:B422"/>
    <mergeCell ref="B423:B444"/>
    <mergeCell ref="B445:B466"/>
    <mergeCell ref="B467:B470"/>
    <mergeCell ref="B471:B478"/>
    <mergeCell ref="A246:A250"/>
    <mergeCell ref="B248:B249"/>
    <mergeCell ref="A252:A255"/>
    <mergeCell ref="B254:B255"/>
    <mergeCell ref="A259:A485"/>
    <mergeCell ref="B266:B312"/>
    <mergeCell ref="B313:B316"/>
    <mergeCell ref="B317:B346"/>
    <mergeCell ref="B348:B349"/>
    <mergeCell ref="B350:B387"/>
    <mergeCell ref="A194:A217"/>
    <mergeCell ref="B197:B201"/>
    <mergeCell ref="B202:B209"/>
    <mergeCell ref="B210:B217"/>
    <mergeCell ref="A218:A244"/>
    <mergeCell ref="B225:B234"/>
    <mergeCell ref="B238:B242"/>
    <mergeCell ref="B243:B244"/>
    <mergeCell ref="A98:A106"/>
    <mergeCell ref="B101:B102"/>
    <mergeCell ref="B104:B106"/>
    <mergeCell ref="A107:A193"/>
    <mergeCell ref="B115:B141"/>
    <mergeCell ref="B142:B146"/>
    <mergeCell ref="B147:B178"/>
    <mergeCell ref="B179:B193"/>
    <mergeCell ref="A76:A97"/>
    <mergeCell ref="B83:B84"/>
    <mergeCell ref="B85:B97"/>
    <mergeCell ref="C94:C95"/>
    <mergeCell ref="C96:C97"/>
    <mergeCell ref="A33:A75"/>
    <mergeCell ref="B40:B47"/>
    <mergeCell ref="B48:B75"/>
    <mergeCell ref="C74:C75"/>
    <mergeCell ref="A4:A32"/>
    <mergeCell ref="B10:B22"/>
    <mergeCell ref="C16:C18"/>
    <mergeCell ref="C19:C21"/>
    <mergeCell ref="B24:B25"/>
    <mergeCell ref="B26:B32"/>
    <mergeCell ref="E1:E2"/>
    <mergeCell ref="F1:F2"/>
    <mergeCell ref="G1:I1"/>
    <mergeCell ref="J1:J2"/>
    <mergeCell ref="A1:A2"/>
    <mergeCell ref="B1:B2"/>
    <mergeCell ref="C1:C2"/>
    <mergeCell ref="D1:D2"/>
  </mergeCells>
  <printOptions/>
  <pageMargins left="0.2362204724409449" right="0.1968503937007874" top="0.5118110236220472" bottom="0.2362204724409449" header="0.15748031496062992" footer="0.2362204724409449"/>
  <pageSetup horizontalDpi="600" verticalDpi="600" orientation="portrait" paperSize="9" r:id="rId1"/>
  <headerFooter alignWithMargins="0">
    <oddHeader>&amp;CStrona &amp;P Zał. N 2  do Uchwały Rady Miejskiej w Jezioranach Nr .......  z dnia ........... w sprawie
 budżetu gminy na rok 2014-PROJEKT WYDATKÓW&amp;R&amp;P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gleszczynska</cp:lastModifiedBy>
  <cp:lastPrinted>2014-11-25T06:33:42Z</cp:lastPrinted>
  <dcterms:created xsi:type="dcterms:W3CDTF">2007-10-16T17:18:34Z</dcterms:created>
  <dcterms:modified xsi:type="dcterms:W3CDTF">2014-12-07T18:19:57Z</dcterms:modified>
  <cp:category/>
  <cp:version/>
  <cp:contentType/>
  <cp:contentStatus/>
</cp:coreProperties>
</file>