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OCHODY RIO" sheetId="1" r:id="rId1"/>
  </sheets>
  <definedNames/>
  <calcPr fullCalcOnLoad="1"/>
</workbook>
</file>

<file path=xl/sharedStrings.xml><?xml version="1.0" encoding="utf-8"?>
<sst xmlns="http://schemas.openxmlformats.org/spreadsheetml/2006/main" count="410" uniqueCount="251">
  <si>
    <t>Dział</t>
  </si>
  <si>
    <t>Rozdział</t>
  </si>
  <si>
    <t>§</t>
  </si>
  <si>
    <t>Nazwa</t>
  </si>
  <si>
    <t>kwota</t>
  </si>
  <si>
    <t>% 8:7</t>
  </si>
  <si>
    <t>010</t>
  </si>
  <si>
    <t>ROLNICTWO I   ŁOWIECTWO</t>
  </si>
  <si>
    <t>01010</t>
  </si>
  <si>
    <t>0490</t>
  </si>
  <si>
    <t>0690</t>
  </si>
  <si>
    <t>Wpływy z różnych opłat</t>
  </si>
  <si>
    <t>0770</t>
  </si>
  <si>
    <t>Wpłaty z tytułu odpłatnego nabycia prawa własności oraz prawa użytkowania wieczystego nieruchomości</t>
  </si>
  <si>
    <t>0960</t>
  </si>
  <si>
    <t>Otrzymane spadki, zapisy i darowizny</t>
  </si>
  <si>
    <t>0970</t>
  </si>
  <si>
    <t>Wpływy z różnych dochodów</t>
  </si>
  <si>
    <t>01095</t>
  </si>
  <si>
    <t>Pozostała działalność</t>
  </si>
  <si>
    <t>2010</t>
  </si>
  <si>
    <t>020</t>
  </si>
  <si>
    <t>LEŚNICTWO</t>
  </si>
  <si>
    <t>02095</t>
  </si>
  <si>
    <t>0750</t>
  </si>
  <si>
    <t>TRANSPORT I ŁĄCZNOŚĆ</t>
  </si>
  <si>
    <t>Drogi publiczne powiatowe</t>
  </si>
  <si>
    <t>Dotacje celowe otrzymane z powiatu na zadania bieżące</t>
  </si>
  <si>
    <t>6620</t>
  </si>
  <si>
    <t>Dotacje celowe otrzymane z powiatu na inwestycje i zakupy inwestycyjne realizowane na podstawie porozumień(umów) między jst</t>
  </si>
  <si>
    <t>Drogi publiczne gminne</t>
  </si>
  <si>
    <t>GOSPODARKA MIESZKANIOWA</t>
  </si>
  <si>
    <t>70001</t>
  </si>
  <si>
    <t>Zakłady gospodarki mieszkaniowej</t>
  </si>
  <si>
    <t>Gospodarka gruntami i nieruchomościami</t>
  </si>
  <si>
    <t>0470</t>
  </si>
  <si>
    <t>Wpływy z opłat za zarząd, użytkowanie  .i  użytkowanie wieczyste  nieruchomości</t>
  </si>
  <si>
    <t>Dochody z najmu i dzierż. składników majątkowych jst</t>
  </si>
  <si>
    <t>0840</t>
  </si>
  <si>
    <t>0870</t>
  </si>
  <si>
    <t>Wpływy ze sprzedaży składników majątkowych</t>
  </si>
  <si>
    <t>0920</t>
  </si>
  <si>
    <t>Pozostałe odsetki</t>
  </si>
  <si>
    <t>DZIAŁALNOŚĆ USŁUGOWA</t>
  </si>
  <si>
    <t>71035</t>
  </si>
  <si>
    <t>Cmantarze</t>
  </si>
  <si>
    <t>2020</t>
  </si>
  <si>
    <t>Dotacje celowe otrzymane z budżetu państwa na zadania bieżące realizowane przez gminę na podstawie porozumień z organami administracj rządowej</t>
  </si>
  <si>
    <t>ADMINISTRACJA PUBLICZNA</t>
  </si>
  <si>
    <t>Urzędy wojewódzkie</t>
  </si>
  <si>
    <t>Dotacje celowe otrzymane z budżetu państwa na real. zadań bież. z zakresu adm. rządowej oraz innych zadań zleconych</t>
  </si>
  <si>
    <t>Urzędy gmin (miast i miast  na prawach powiatu)</t>
  </si>
  <si>
    <t>0830</t>
  </si>
  <si>
    <t>Wpływy z usług</t>
  </si>
  <si>
    <t>Wpływy ze sprzedaży wyrobów i składników majątkowych</t>
  </si>
  <si>
    <t xml:space="preserve">Otrzymane  spadki , zapisy i darowizny </t>
  </si>
  <si>
    <t>Dochody jst związane z realizacją zadań z akresu administracji rządowej oraz innych zadań zleconych ustawami</t>
  </si>
  <si>
    <t>Dotacje celowe otrzymane z budżetu państwa na real. zadań  bież. z zakresu adm. rządowej</t>
  </si>
  <si>
    <t>Środki na dofinansowanie własnych inwestycji gmin,powiatów,samorządów województw pozyskane z innych źródeł</t>
  </si>
  <si>
    <t xml:space="preserve">Dochody od osób  prawnych, od osób fizycznych i od innych jednostek nieposiadających osobowowości prawnej oraz wydatki zwiazane z ich poborem  </t>
  </si>
  <si>
    <t>Wpływy z podatku doch od osób fizycznych</t>
  </si>
  <si>
    <t>0350</t>
  </si>
  <si>
    <t>Podatek od dział. gosp. osób fizycznych</t>
  </si>
  <si>
    <t>0910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</si>
  <si>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</si>
  <si>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</si>
  <si>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</si>
  <si>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</si>
  <si>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</si>
  <si>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</si>
  <si>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</si>
  <si>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śr. transport.</t>
  </si>
  <si>
    <t>0440</t>
  </si>
  <si>
    <t>Wpływy z opłaty miejscowej</t>
  </si>
  <si>
    <t>Wpływy z innych lokalnych opłat pobieranych przez jst.</t>
  </si>
  <si>
    <t>0500</t>
  </si>
  <si>
    <t>Podatek od czynności cywilno-prawnych</t>
  </si>
  <si>
    <t>0560</t>
  </si>
  <si>
    <t xml:space="preserve">Zaległości z podatków zniesionych </t>
  </si>
  <si>
    <t xml:space="preserve">Wpływy z różnych opłat </t>
  </si>
  <si>
    <t>Odsetki od nieterminowych wpłat z tyt. Podatków i opłat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</si>
  <si>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</si>
  <si>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</si>
  <si>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</si>
  <si>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</si>
  <si>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</si>
  <si>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</si>
  <si>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0460</t>
  </si>
  <si>
    <t>Wpływy z opłaty eksploatacyjnej</t>
  </si>
  <si>
    <t xml:space="preserve">Odsetki od nieterminowych wpłat z tyt. Podatków i opłat </t>
  </si>
  <si>
    <t>0410</t>
  </si>
  <si>
    <t>Wpływy z opłaty skarbowej</t>
  </si>
  <si>
    <t>0480</t>
  </si>
  <si>
    <t>Wpływy z opłat za zezwolenia na sprzedaż alkoholu</t>
  </si>
  <si>
    <t>0010</t>
  </si>
  <si>
    <t>Podatek doch. od osób fizycznych</t>
  </si>
  <si>
    <t>0020</t>
  </si>
  <si>
    <t>Podatek doch. od osób prawnych</t>
  </si>
  <si>
    <t>RÓŻNE ROZLICZENIA</t>
  </si>
  <si>
    <t>Subwencje ogólne z budżetu państwa</t>
  </si>
  <si>
    <t>Część wyrównawcza subwencji ogólnej dla gmin</t>
  </si>
  <si>
    <t>Różne rozliczenia finansowe</t>
  </si>
  <si>
    <t>75831</t>
  </si>
  <si>
    <t>Część równoważąca subwencji ogólnej dla gmin</t>
  </si>
  <si>
    <t>2920</t>
  </si>
  <si>
    <t>OŚWIATA I WYCHOWANIE</t>
  </si>
  <si>
    <t>80101</t>
  </si>
  <si>
    <t>Szkoły podstawowe</t>
  </si>
  <si>
    <t>2030</t>
  </si>
  <si>
    <t>Przedszkola</t>
  </si>
  <si>
    <t>Gimnazjum</t>
  </si>
  <si>
    <t>Szkoły zawodowe</t>
  </si>
  <si>
    <t>OCHRONA ZDROWIA</t>
  </si>
  <si>
    <t>85195</t>
  </si>
  <si>
    <t>Pozostałą działalność</t>
  </si>
  <si>
    <t>POMOC SPOŁECZNA</t>
  </si>
  <si>
    <t>85202</t>
  </si>
  <si>
    <t>Domy pomocy społecznej</t>
  </si>
  <si>
    <t xml:space="preserve">Pozostałe odsetki </t>
  </si>
  <si>
    <t>Składki  na ubezp. zdrowotne opłacane za osoby pobierające niektóre świadczenia z pomocy społecznej</t>
  </si>
  <si>
    <t>Zasiłki i pomoc w naturze oraz skł. na ubezp. Społeczne</t>
  </si>
  <si>
    <t>Dotacje celowe otrzymane  z budżetu państwa na realizację  własnych zadań bieżących gmin</t>
  </si>
  <si>
    <t>Ośrodki pomocy społecznej</t>
  </si>
  <si>
    <t>Dotacje celowe otrzymane z budż państwa  na realizacje własnych zadań bieżących gmin</t>
  </si>
  <si>
    <t>853</t>
  </si>
  <si>
    <t>Pozostałe zadania w zakresie polityki społecznej</t>
  </si>
  <si>
    <t>85395</t>
  </si>
  <si>
    <t>Dotacje rozwojowe oraz środki na finansowanie Wspólnej Polityki Rolnej</t>
  </si>
  <si>
    <t>2009</t>
  </si>
  <si>
    <t>EDUKACYJNA OPIEKA WYCHOWAWCZA</t>
  </si>
  <si>
    <t>Pomoc materialna dla uczniów</t>
  </si>
  <si>
    <t>GOSPODARKA KOMUNALNA I OCHRONA SRODOWISKA</t>
  </si>
  <si>
    <t>Gospodarka ściekowa i ochrona wód</t>
  </si>
  <si>
    <t>Finansowanie programów i projektów realizowanych ze środków Funduszów Strukturalnych, Funduszu Spójności oraz z Sekcji Gwarancji Europejskiego Funduszu Orientacji i Gwarancji Rolnej</t>
  </si>
  <si>
    <t>90002</t>
  </si>
  <si>
    <t>Gospodarka odpadami</t>
  </si>
  <si>
    <t xml:space="preserve">Środki na dofinansowanie własnych inwestycji gmin (związków gmin), powioatów (związków powiatów), samorządów województw,pozyskane z innych źródeł </t>
  </si>
  <si>
    <t>90015</t>
  </si>
  <si>
    <t>Oświetlenie ulic, placów i dróg</t>
  </si>
  <si>
    <t>KULTURA I OCHRONA DZIEDZICTWA NARODOWEGO</t>
  </si>
  <si>
    <t xml:space="preserve">Domy i ośrodki kultury,świetlice i kluby </t>
  </si>
  <si>
    <t>2320</t>
  </si>
  <si>
    <t>92116</t>
  </si>
  <si>
    <t>926</t>
  </si>
  <si>
    <t>KULTURA FIZYCZNA I SPORT</t>
  </si>
  <si>
    <t>92601</t>
  </si>
  <si>
    <t>Środki na dofinansowanie własnych inwestycji gmin (związków gmin),powiatów (zwiazków powiatów),samorządów województw, pozyskane z innych źródeł</t>
  </si>
  <si>
    <t>92695</t>
  </si>
  <si>
    <t>0980</t>
  </si>
  <si>
    <t>Obiekty sportowe</t>
  </si>
  <si>
    <t>Biblioteki</t>
  </si>
  <si>
    <t>Zasiłki stałe</t>
  </si>
  <si>
    <t>dochody bieżące</t>
  </si>
  <si>
    <t>Wpływy z tytułu zwrotów wypłaconych świadczeń z funduszu alimentacyjnego</t>
  </si>
  <si>
    <t>2007</t>
  </si>
  <si>
    <t>w tym bieżące</t>
  </si>
  <si>
    <t>w tym inwestycje</t>
  </si>
  <si>
    <t>dochody majatkowe</t>
  </si>
  <si>
    <t>Dotacje celowe otrzymane z budżetu państwa na inwestycje i zakupy inwestycyjne realizowane przez gminę na podstawie porozumień z organami administracji rządowej</t>
  </si>
  <si>
    <t>6297</t>
  </si>
  <si>
    <t>2680</t>
  </si>
  <si>
    <t>Wpływy z innych lokalnych opłat pobieranych przez jednostki samorządu terytorialnego na podstawie odrębnych ustaw</t>
  </si>
  <si>
    <t>Rekompensaty utraconych dochodów w podatkach i opłatach lokalnych</t>
  </si>
  <si>
    <t>Wpływy i wydatki związane z gromadzeniem środków z opłat i kar za korzystanie ze środowiska</t>
  </si>
  <si>
    <t xml:space="preserve">zł </t>
  </si>
  <si>
    <t>%</t>
  </si>
  <si>
    <t>P 6620</t>
  </si>
  <si>
    <t xml:space="preserve">6290- inne środki poza UE </t>
  </si>
  <si>
    <t xml:space="preserve">Subwencje </t>
  </si>
  <si>
    <t>Wykonanie za 2011r.</t>
  </si>
  <si>
    <t>Plan z Uchwały Rady na 2012</t>
  </si>
  <si>
    <t xml:space="preserve">Plan na 2012 wg stanu na 30.09.2012  </t>
  </si>
  <si>
    <t>Wykonanie na 30.09.2012</t>
  </si>
  <si>
    <t>Projekt budżetu na 2013 rok</t>
  </si>
  <si>
    <t>Plan na 31.10.12</t>
  </si>
  <si>
    <t>Wykonanie na 31.10.2012</t>
  </si>
  <si>
    <t>Przewidywane wykonanie roku 2012</t>
  </si>
  <si>
    <t>85206</t>
  </si>
  <si>
    <t>6329</t>
  </si>
  <si>
    <t>6639</t>
  </si>
  <si>
    <t>2460</t>
  </si>
  <si>
    <t>Inne formy wychowania przedszkolnego</t>
  </si>
  <si>
    <t>Środki otrzymane od pozostałych jednostek zaliczanych do sektora finansów publicznych</t>
  </si>
  <si>
    <t xml:space="preserve">           bieżące</t>
  </si>
  <si>
    <t>Rodziny zastępcze</t>
  </si>
  <si>
    <r>
      <t>Wpływy z innych lokalnych opłat pobieranych przez  jst na podst. odrębnych ustaw(</t>
    </r>
    <r>
      <rPr>
        <i/>
        <sz val="8"/>
        <rFont val="Times New Roman"/>
        <family val="1"/>
      </rPr>
      <t xml:space="preserve"> opłata adiacencka) </t>
    </r>
  </si>
  <si>
    <t>P 6630+6639</t>
  </si>
  <si>
    <t>P 6320+6329</t>
  </si>
  <si>
    <t>Otrzymane spadki zapisy i drowizny</t>
  </si>
  <si>
    <t>Dotacje celowe otrzymane z samorządu województwa na inwestycje i zakupy inwestycyjne realizowane na podstawie porozumień (umów) między jednostkami samorządu terytorialnego</t>
  </si>
  <si>
    <t>Wpływy z innych opłat stanowiących dochody jednostek samorzadu terytorialnego na podstawie ustaw</t>
  </si>
  <si>
    <t>Udziały gmin w podatkach stanowiących dochód budżetu państwa</t>
  </si>
  <si>
    <t>Część oświatowa subwencji ogólnej dla jednostek samorządu terytorialnego</t>
  </si>
  <si>
    <t>Dotacje celowe otrzymane z budżetu państwa na  realizację  zadań  bieżących  z zakresu administracji  rządowej</t>
  </si>
  <si>
    <t>Dotacje celowe otrzymane z budżetu państwa na  realizację zadań  bieżących  z zakresu administracji  rządowej</t>
  </si>
  <si>
    <t>Dotacje celowe otrzymane z budżetu państwa na  realizację zadań  bieżących  z zakresu admistracji rządowej</t>
  </si>
  <si>
    <t>Usługi opiekuńcze i specjalist. usługi opiekuńcze</t>
  </si>
  <si>
    <t>Dotacje celowe otrzymane  z powiatu na zadania bieżące realizowane na podstawie porozumień między jednostkami samorządu terytorialnego</t>
  </si>
  <si>
    <t>Dotacje celowe otrzymane  z powiatu na zadania bieżące realizowane na podstawie porozumień między jednostkami samorzadu terytorialnego</t>
  </si>
  <si>
    <t>Podatek od środków transportowych</t>
  </si>
  <si>
    <t>Odsetki od nieterminowych wpłat z tytułu podatków i opłat</t>
  </si>
  <si>
    <t>Zespoły obsługi ekonomiczno - administracyjne  szkół</t>
  </si>
  <si>
    <t>Dotacje celowe otrzymane z budżetu państwa na  realizację  zadań  bieżących  z zakresu administracji rządowej</t>
  </si>
  <si>
    <t>Dotacje celowe otrzymane z budżetu państwa  na realizację własnych zadań bieżących gmin</t>
  </si>
  <si>
    <t xml:space="preserve">RAZEM  dochody  gminy </t>
  </si>
  <si>
    <t xml:space="preserve">ZBIORCZE DOCHODY   GMINY </t>
  </si>
  <si>
    <t xml:space="preserve">W TYM : </t>
  </si>
  <si>
    <t>OGÓŁEM  DOCHODY GMINY :</t>
  </si>
  <si>
    <t xml:space="preserve">     z tego :majątkowe </t>
  </si>
  <si>
    <t>Infrastruktura wodociągowa i sanitacyjna wsi</t>
  </si>
  <si>
    <t xml:space="preserve">Dochody z najmu i dzierżawy składników majątkowych  Skarbu Państwa, jednostek samorządu terytorialnegolub innych jednostek zaliczanych do jednostek sektora finansów publicznych </t>
  </si>
  <si>
    <t xml:space="preserve">Wpływy z podatku rolnego, leśnego, podatku od spadków i darowizn, od czynności cywilno-prawnych od osób fizycznych </t>
  </si>
  <si>
    <t>Urzędy naczelnych  organow  władzy państwowej , kontroli i ochrony prawa</t>
  </si>
  <si>
    <t xml:space="preserve">URZĘDY NACZELNYCH ORGANÓW  WŁADZY PAŃSTWOWEJ,KONTROLI I OCHRONY PRAWA ORAZ SĄDOWNICTWA </t>
  </si>
  <si>
    <t>BEZPIECZEŃSTWO  PUPLICZNE I OCHRONA PZECIWPOŻAROWA</t>
  </si>
  <si>
    <t xml:space="preserve">Wpływy z podatku rolnego,podatku leśnego ,podatku od czynności cywilno-prawnych, podatków i opłat lokalnych od osób prawnych  i innych jednostek organizacyjnych </t>
  </si>
  <si>
    <t xml:space="preserve">razem dotacjei inne środki majątkowe  otrzymane na podstawie umów i porozumień  </t>
  </si>
  <si>
    <t>Porozumienia - bieżące  : 2320</t>
  </si>
  <si>
    <t>2030 dotacje z budżetu państwa  bieżące</t>
  </si>
  <si>
    <r>
      <t>dotacje zlecone b</t>
    </r>
    <r>
      <rPr>
        <b/>
        <sz val="10"/>
        <rFont val="Times New Roman"/>
        <family val="1"/>
      </rPr>
      <t>ieżące   2010</t>
    </r>
  </si>
  <si>
    <t>Porozumienia z organami administracji rządowej - bieżące - 2020</t>
  </si>
  <si>
    <t>Razem DOTACJE  BIEŻĄCE</t>
  </si>
  <si>
    <t>środki UE :</t>
  </si>
  <si>
    <t>razem UE bieżące +inwestycje</t>
  </si>
  <si>
    <t>Dotacje  otrzymane na inwestycje :</t>
  </si>
  <si>
    <r>
      <t xml:space="preserve">DOTACJE do inwestycji </t>
    </r>
    <r>
      <rPr>
        <sz val="8"/>
        <rFont val="Times New Roman"/>
        <family val="1"/>
      </rPr>
      <t>z tytułu umów  i porozumień  :</t>
    </r>
  </si>
  <si>
    <t xml:space="preserve">w tym : 6330 budżet państwa </t>
  </si>
  <si>
    <t xml:space="preserve">    6260 dotacje z funduszy  celowych </t>
  </si>
  <si>
    <t xml:space="preserve"> w tym :majątkowe własne</t>
  </si>
  <si>
    <t xml:space="preserve"> dochody własne </t>
  </si>
  <si>
    <t>Świadczenia rodzinne oraz składki na ubezpieczenia  emerytalne i rentowe</t>
  </si>
  <si>
    <t>fosa -56.196,04</t>
  </si>
  <si>
    <t xml:space="preserve">E- przedsiębiorca  (RPO) </t>
  </si>
  <si>
    <t>Zerbuń-plac  PROW</t>
  </si>
  <si>
    <t xml:space="preserve">Środki na dofinansowanie własnych inwestycji gmin (związków gmin), powiatów (związków powiatów), samorządów województw,pozyskane z innych źródeł </t>
  </si>
  <si>
    <t xml:space="preserve">Szkoła ponadgimnazjalna </t>
  </si>
  <si>
    <t>budowa kanalizacji  PROW-F - 960.267,04 , ( R - w 2014r)</t>
  </si>
  <si>
    <t>budowa boisk W,R,P =106.483,11 PROW</t>
  </si>
  <si>
    <t>Orlik -230.000 w 2013r.  PROW</t>
  </si>
  <si>
    <t>ORLIK- Dotacja z Ministerstwa</t>
  </si>
  <si>
    <t xml:space="preserve">ORLIK -DOTACJA  Z Departtamentu Sportu od Marszałka  Województwa </t>
  </si>
  <si>
    <t>ZBIORCZO DOTACJE  bież+ majątkowe</t>
  </si>
  <si>
    <t>ZBIORCZO ŚRODKI  UE</t>
  </si>
  <si>
    <t xml:space="preserve">SUBWENCJE </t>
  </si>
  <si>
    <t xml:space="preserve">Razem środki pozyskane </t>
  </si>
  <si>
    <t xml:space="preserve">Dochody własne </t>
  </si>
  <si>
    <t>Struktura % 2013</t>
  </si>
  <si>
    <t>%     12:11</t>
  </si>
  <si>
    <t>Struktura % 2012</t>
  </si>
  <si>
    <t xml:space="preserve">w tym subwencja poza oświatową </t>
  </si>
  <si>
    <r>
      <t>zbiorczo dochody bieżące gminy</t>
    </r>
    <r>
      <rPr>
        <sz val="8"/>
        <rFont val="Arial"/>
        <family val="2"/>
      </rPr>
      <t xml:space="preserve">  = własne bież +UE bież+dotacje bież + Inne środki (UE ANR) bież + subwencje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</si>
</sst>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0.0"/>
  </numFmts>
  <fonts count="17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12" fillId="0" borderId="2" xfId="0" applyNumberFormat="1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6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3" xfId="0" applyBorder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166" fontId="10" fillId="0" borderId="1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4" fontId="7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4" xfId="0" applyBorder="1" applyAlignment="1">
      <alignment horizontal="left" vertical="top" wrapText="1"/>
    </xf>
    <xf numFmtId="4" fontId="7" fillId="0" borderId="0" xfId="0" applyNumberFormat="1" applyFont="1" applyAlignment="1">
      <alignment horizontal="right" vertical="top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4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" fontId="13" fillId="0" borderId="5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/>
    </xf>
    <xf numFmtId="4" fontId="2" fillId="0" borderId="5" xfId="0" applyNumberFormat="1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left" vertical="top"/>
    </xf>
    <xf numFmtId="1" fontId="5" fillId="0" borderId="8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/>
    </xf>
    <xf numFmtId="4" fontId="10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right" vertical="top" wrapText="1"/>
    </xf>
    <xf numFmtId="4" fontId="10" fillId="0" borderId="8" xfId="0" applyNumberFormat="1" applyFont="1" applyBorder="1" applyAlignment="1">
      <alignment horizontal="right" vertical="top" wrapText="1"/>
    </xf>
    <xf numFmtId="4" fontId="10" fillId="0" borderId="8" xfId="0" applyNumberFormat="1" applyFont="1" applyBorder="1" applyAlignment="1">
      <alignment horizontal="right" vertical="top" wrapText="1"/>
    </xf>
    <xf numFmtId="4" fontId="5" fillId="0" borderId="8" xfId="0" applyNumberFormat="1" applyFont="1" applyBorder="1" applyAlignment="1">
      <alignment horizontal="left" vertical="top"/>
    </xf>
    <xf numFmtId="4" fontId="5" fillId="0" borderId="8" xfId="0" applyNumberFormat="1" applyFont="1" applyBorder="1" applyAlignment="1">
      <alignment horizontal="left" vertical="top" wrapText="1"/>
    </xf>
    <xf numFmtId="4" fontId="10" fillId="0" borderId="8" xfId="0" applyNumberFormat="1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left" vertical="top"/>
    </xf>
    <xf numFmtId="4" fontId="2" fillId="0" borderId="8" xfId="0" applyNumberFormat="1" applyFont="1" applyBorder="1" applyAlignment="1">
      <alignment horizontal="left" vertical="top" wrapText="1"/>
    </xf>
    <xf numFmtId="4" fontId="7" fillId="0" borderId="8" xfId="0" applyNumberFormat="1" applyFont="1" applyBorder="1" applyAlignment="1">
      <alignment horizontal="left" vertical="top"/>
    </xf>
    <xf numFmtId="4" fontId="6" fillId="0" borderId="8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/>
    </xf>
    <xf numFmtId="0" fontId="1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3" fontId="10" fillId="0" borderId="5" xfId="0" applyNumberFormat="1" applyFont="1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1" fillId="0" borderId="0" xfId="0" applyNumberFormat="1" applyFont="1" applyAlignment="1">
      <alignment horizontal="left" vertical="top" wrapText="1"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166" fontId="5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166" fontId="1" fillId="0" borderId="2" xfId="0" applyNumberFormat="1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tabSelected="1" workbookViewId="0" topLeftCell="A237">
      <selection activeCell="A259" sqref="A259:O261"/>
    </sheetView>
  </sheetViews>
  <sheetFormatPr defaultColWidth="9.140625" defaultRowHeight="12.75"/>
  <cols>
    <col min="1" max="1" width="4.57421875" style="4" customWidth="1"/>
    <col min="2" max="2" width="5.7109375" style="4" customWidth="1"/>
    <col min="3" max="3" width="5.8515625" style="4" customWidth="1"/>
    <col min="4" max="4" width="33.57421875" style="4" customWidth="1"/>
    <col min="5" max="5" width="10.57421875" style="18" hidden="1" customWidth="1"/>
    <col min="6" max="6" width="10.7109375" style="19" hidden="1" customWidth="1"/>
    <col min="7" max="7" width="11.8515625" style="18" hidden="1" customWidth="1"/>
    <col min="8" max="8" width="10.8515625" style="18" hidden="1" customWidth="1"/>
    <col min="9" max="9" width="2.8515625" style="19" hidden="1" customWidth="1"/>
    <col min="10" max="11" width="11.00390625" style="19" hidden="1" customWidth="1"/>
    <col min="12" max="12" width="4.421875" style="19" hidden="1" customWidth="1"/>
    <col min="13" max="13" width="12.8515625" style="19" customWidth="1"/>
    <col min="14" max="14" width="6.00390625" style="149" customWidth="1"/>
    <col min="15" max="15" width="11.57421875" style="20" customWidth="1"/>
    <col min="16" max="16" width="6.7109375" style="3" customWidth="1"/>
    <col min="17" max="17" width="5.140625" style="4" customWidth="1"/>
    <col min="18" max="16384" width="9.140625" style="4" customWidth="1"/>
  </cols>
  <sheetData>
    <row r="1" spans="1:17" s="3" customFormat="1" ht="25.5" customHeight="1">
      <c r="A1" s="158" t="s">
        <v>0</v>
      </c>
      <c r="B1" s="158" t="s">
        <v>1</v>
      </c>
      <c r="C1" s="158" t="s">
        <v>2</v>
      </c>
      <c r="D1" s="158" t="s">
        <v>3</v>
      </c>
      <c r="E1" s="172" t="s">
        <v>169</v>
      </c>
      <c r="F1" s="171" t="s">
        <v>170</v>
      </c>
      <c r="G1" s="172" t="s">
        <v>171</v>
      </c>
      <c r="H1" s="171" t="s">
        <v>172</v>
      </c>
      <c r="I1" s="171"/>
      <c r="J1" s="175" t="s">
        <v>174</v>
      </c>
      <c r="K1" s="173" t="s">
        <v>175</v>
      </c>
      <c r="L1" s="174"/>
      <c r="M1" s="184" t="s">
        <v>176</v>
      </c>
      <c r="N1" s="188" t="s">
        <v>248</v>
      </c>
      <c r="O1" s="190" t="s">
        <v>173</v>
      </c>
      <c r="P1" s="171"/>
      <c r="Q1" s="186" t="s">
        <v>246</v>
      </c>
    </row>
    <row r="2" spans="1:17" ht="27.75" customHeight="1">
      <c r="A2" s="158"/>
      <c r="B2" s="158"/>
      <c r="C2" s="158"/>
      <c r="D2" s="158"/>
      <c r="E2" s="172"/>
      <c r="F2" s="171"/>
      <c r="G2" s="172"/>
      <c r="H2" s="1" t="s">
        <v>4</v>
      </c>
      <c r="I2" s="2" t="s">
        <v>5</v>
      </c>
      <c r="J2" s="167"/>
      <c r="K2" s="23" t="s">
        <v>164</v>
      </c>
      <c r="L2" s="23" t="s">
        <v>165</v>
      </c>
      <c r="M2" s="185"/>
      <c r="N2" s="189"/>
      <c r="O2" s="119" t="s">
        <v>4</v>
      </c>
      <c r="P2" s="29" t="s">
        <v>247</v>
      </c>
      <c r="Q2" s="187"/>
    </row>
    <row r="3" spans="1:17" ht="12.75">
      <c r="A3" s="5">
        <v>1</v>
      </c>
      <c r="B3" s="5">
        <v>2</v>
      </c>
      <c r="C3" s="6">
        <v>3</v>
      </c>
      <c r="D3" s="6">
        <v>4</v>
      </c>
      <c r="E3" s="7">
        <v>5</v>
      </c>
      <c r="F3" s="8">
        <v>6</v>
      </c>
      <c r="G3" s="7">
        <v>7</v>
      </c>
      <c r="H3" s="7">
        <v>8</v>
      </c>
      <c r="I3" s="8">
        <v>9</v>
      </c>
      <c r="J3" s="50"/>
      <c r="K3" s="50"/>
      <c r="L3" s="50"/>
      <c r="M3" s="99">
        <v>5</v>
      </c>
      <c r="N3" s="145">
        <v>6</v>
      </c>
      <c r="O3" s="120">
        <v>7</v>
      </c>
      <c r="P3" s="14">
        <v>8</v>
      </c>
      <c r="Q3" s="98">
        <v>9</v>
      </c>
    </row>
    <row r="4" spans="1:17" s="11" customFormat="1" ht="12.75">
      <c r="A4" s="163" t="s">
        <v>6</v>
      </c>
      <c r="B4" s="9"/>
      <c r="C4" s="9"/>
      <c r="D4" s="10" t="s">
        <v>7</v>
      </c>
      <c r="E4" s="33" t="e">
        <f>E5+E9+#REF!</f>
        <v>#REF!</v>
      </c>
      <c r="F4" s="33" t="e">
        <f>F5+F9+#REF!</f>
        <v>#REF!</v>
      </c>
      <c r="G4" s="33" t="e">
        <f>G5+G9+#REF!</f>
        <v>#REF!</v>
      </c>
      <c r="H4" s="33" t="e">
        <f>H5+H9+#REF!</f>
        <v>#REF!</v>
      </c>
      <c r="I4" s="34" t="e">
        <f>(H4/G4*100)</f>
        <v>#REF!</v>
      </c>
      <c r="J4" s="33" t="e">
        <f>J5+#REF!+J9</f>
        <v>#REF!</v>
      </c>
      <c r="K4" s="33" t="e">
        <f>K5+#REF!+K9</f>
        <v>#REF!</v>
      </c>
      <c r="L4" s="34" t="e">
        <f>K4/J4*100</f>
        <v>#REF!</v>
      </c>
      <c r="M4" s="100">
        <f>M5+M9</f>
        <v>573064.98</v>
      </c>
      <c r="N4" s="146">
        <f>M4/$M$249*100</f>
        <v>2.293095016591428</v>
      </c>
      <c r="O4" s="121">
        <f>O5+O9</f>
        <v>152400</v>
      </c>
      <c r="P4" s="49">
        <f>(O4/M4)*100</f>
        <v>26.59384281342755</v>
      </c>
      <c r="Q4" s="138">
        <f>O4/$O$249*100</f>
        <v>0.6561430393203447</v>
      </c>
    </row>
    <row r="5" spans="1:17" s="11" customFormat="1" ht="21">
      <c r="A5" s="165"/>
      <c r="B5" s="163" t="s">
        <v>8</v>
      </c>
      <c r="C5" s="9"/>
      <c r="D5" s="10" t="s">
        <v>209</v>
      </c>
      <c r="E5" s="33" t="e">
        <f>E8+#REF!+#REF!+E6+E7+#REF!</f>
        <v>#REF!</v>
      </c>
      <c r="F5" s="33" t="e">
        <f>F8+#REF!+#REF!+F6+F7+#REF!</f>
        <v>#REF!</v>
      </c>
      <c r="G5" s="33" t="e">
        <f>G8+#REF!+#REF!+G6+G7+#REF!</f>
        <v>#REF!</v>
      </c>
      <c r="H5" s="33" t="e">
        <f>H8+#REF!+#REF!+H6+H7+#REF!</f>
        <v>#REF!</v>
      </c>
      <c r="I5" s="33" t="e">
        <f>I8+#REF!+#REF!+I6+I7+#REF!</f>
        <v>#DIV/0!</v>
      </c>
      <c r="J5" s="33" t="e">
        <f>J8+#REF!+#REF!+J6+J7+#REF!</f>
        <v>#REF!</v>
      </c>
      <c r="K5" s="33" t="e">
        <f>K8+#REF!+#REF!+K6+K7+#REF!</f>
        <v>#REF!</v>
      </c>
      <c r="L5" s="33" t="e">
        <f>L8+#REF!+#REF!+L6+L7+#REF!</f>
        <v>#DIV/0!</v>
      </c>
      <c r="M5" s="100">
        <f>M8+M6+M7</f>
        <v>129149</v>
      </c>
      <c r="N5" s="146">
        <f aca="true" t="shared" si="0" ref="N5:N68">M5/$M$249*100</f>
        <v>0.5167842018504888</v>
      </c>
      <c r="O5" s="121">
        <f>O8+O6+O7</f>
        <v>152400</v>
      </c>
      <c r="P5" s="49">
        <f>(O5/M5)*100</f>
        <v>118.00323657171174</v>
      </c>
      <c r="Q5" s="138">
        <f aca="true" t="shared" si="1" ref="Q5:Q68">O5/$O$249*100</f>
        <v>0.6561430393203447</v>
      </c>
    </row>
    <row r="6" spans="1:17" ht="33.75">
      <c r="A6" s="165"/>
      <c r="B6" s="166"/>
      <c r="C6" s="13" t="s">
        <v>12</v>
      </c>
      <c r="D6" s="14" t="s">
        <v>13</v>
      </c>
      <c r="E6" s="35">
        <v>148776.88</v>
      </c>
      <c r="F6" s="35">
        <v>200000</v>
      </c>
      <c r="G6" s="35">
        <v>130000</v>
      </c>
      <c r="H6" s="35">
        <v>69171.5</v>
      </c>
      <c r="I6" s="34">
        <f>(H6/G6*100)</f>
        <v>53.20884615384615</v>
      </c>
      <c r="J6" s="35">
        <v>130000</v>
      </c>
      <c r="K6" s="35">
        <v>142068</v>
      </c>
      <c r="L6" s="34">
        <f aca="true" t="shared" si="2" ref="L6:L14">K6/J6*100</f>
        <v>109.28307692307693</v>
      </c>
      <c r="M6" s="101">
        <v>126952</v>
      </c>
      <c r="N6" s="147">
        <f t="shared" si="0"/>
        <v>0.5079930002812508</v>
      </c>
      <c r="O6" s="122">
        <v>150000</v>
      </c>
      <c r="P6" s="152">
        <f>(O6/M6)*100</f>
        <v>118.15489318797657</v>
      </c>
      <c r="Q6" s="151">
        <f t="shared" si="1"/>
        <v>0.6458100780712055</v>
      </c>
    </row>
    <row r="7" spans="1:17" ht="12.75">
      <c r="A7" s="165"/>
      <c r="B7" s="166"/>
      <c r="C7" s="13" t="s">
        <v>52</v>
      </c>
      <c r="D7" s="14" t="s">
        <v>53</v>
      </c>
      <c r="E7" s="35">
        <v>1572.15</v>
      </c>
      <c r="F7" s="35">
        <v>1000</v>
      </c>
      <c r="G7" s="35">
        <v>1000</v>
      </c>
      <c r="H7" s="35">
        <v>1339.11</v>
      </c>
      <c r="I7" s="34">
        <f>(H7/G7*100)</f>
        <v>133.91099999999997</v>
      </c>
      <c r="J7" s="35">
        <v>1000</v>
      </c>
      <c r="K7" s="35">
        <v>1576.32</v>
      </c>
      <c r="L7" s="34">
        <f t="shared" si="2"/>
        <v>157.632</v>
      </c>
      <c r="M7" s="101">
        <v>1650</v>
      </c>
      <c r="N7" s="147">
        <f t="shared" si="0"/>
        <v>0.006602404455731803</v>
      </c>
      <c r="O7" s="122">
        <v>1800</v>
      </c>
      <c r="P7" s="152">
        <f aca="true" t="shared" si="3" ref="P7:P70">(O7/M7)*100</f>
        <v>109.09090909090908</v>
      </c>
      <c r="Q7" s="151">
        <f t="shared" si="1"/>
        <v>0.007749720936854465</v>
      </c>
    </row>
    <row r="8" spans="1:17" ht="14.25" customHeight="1">
      <c r="A8" s="165"/>
      <c r="B8" s="166"/>
      <c r="C8" s="13" t="s">
        <v>16</v>
      </c>
      <c r="D8" s="14" t="s">
        <v>17</v>
      </c>
      <c r="E8" s="35">
        <v>56905</v>
      </c>
      <c r="F8" s="35"/>
      <c r="G8" s="35"/>
      <c r="H8" s="35">
        <v>547</v>
      </c>
      <c r="I8" s="41" t="e">
        <f aca="true" t="shared" si="4" ref="I8:I14">(H8/G8)*100</f>
        <v>#DIV/0!</v>
      </c>
      <c r="J8" s="35"/>
      <c r="K8" s="35">
        <v>547</v>
      </c>
      <c r="L8" s="34" t="e">
        <f t="shared" si="2"/>
        <v>#DIV/0!</v>
      </c>
      <c r="M8" s="101">
        <v>547</v>
      </c>
      <c r="N8" s="147">
        <f t="shared" si="0"/>
        <v>0.00218879711350624</v>
      </c>
      <c r="O8" s="123">
        <v>600</v>
      </c>
      <c r="P8" s="152">
        <f t="shared" si="3"/>
        <v>109.68921389396709</v>
      </c>
      <c r="Q8" s="151">
        <f t="shared" si="1"/>
        <v>0.002583240312284822</v>
      </c>
    </row>
    <row r="9" spans="1:17" s="11" customFormat="1" ht="12.75">
      <c r="A9" s="165"/>
      <c r="B9" s="163" t="s">
        <v>18</v>
      </c>
      <c r="C9" s="9"/>
      <c r="D9" s="10" t="s">
        <v>19</v>
      </c>
      <c r="E9" s="33" t="e">
        <f>E10+#REF!</f>
        <v>#REF!</v>
      </c>
      <c r="F9" s="33" t="e">
        <f>F10+#REF!</f>
        <v>#REF!</v>
      </c>
      <c r="G9" s="33" t="e">
        <f>G10+#REF!</f>
        <v>#REF!</v>
      </c>
      <c r="H9" s="33" t="e">
        <f>H10+#REF!</f>
        <v>#REF!</v>
      </c>
      <c r="I9" s="34" t="e">
        <f t="shared" si="4"/>
        <v>#REF!</v>
      </c>
      <c r="J9" s="33" t="e">
        <f>J10+#REF!</f>
        <v>#REF!</v>
      </c>
      <c r="K9" s="33" t="e">
        <f>K10+#REF!</f>
        <v>#REF!</v>
      </c>
      <c r="L9" s="34" t="e">
        <f t="shared" si="2"/>
        <v>#REF!</v>
      </c>
      <c r="M9" s="100">
        <f>M10</f>
        <v>443915.98</v>
      </c>
      <c r="N9" s="146">
        <f t="shared" si="0"/>
        <v>1.7763108147409394</v>
      </c>
      <c r="O9" s="121">
        <f>O10</f>
        <v>0</v>
      </c>
      <c r="P9" s="152">
        <f t="shared" si="3"/>
        <v>0</v>
      </c>
      <c r="Q9" s="138">
        <f t="shared" si="1"/>
        <v>0</v>
      </c>
    </row>
    <row r="10" spans="1:17" ht="33.75">
      <c r="A10" s="165"/>
      <c r="B10" s="166"/>
      <c r="C10" s="13" t="s">
        <v>20</v>
      </c>
      <c r="D10" s="14" t="str">
        <f>D39</f>
        <v>Dotacje celowe otrzymane z budżetu państwa na real. zadań bież. z zakresu adm. rządowej oraz innych zadań zleconych</v>
      </c>
      <c r="E10" s="35">
        <v>500845.03</v>
      </c>
      <c r="F10" s="35"/>
      <c r="G10" s="35">
        <v>275478.61</v>
      </c>
      <c r="H10" s="35">
        <v>275478.61</v>
      </c>
      <c r="I10" s="37">
        <f t="shared" si="4"/>
        <v>100</v>
      </c>
      <c r="J10" s="35">
        <v>443915.98</v>
      </c>
      <c r="K10" s="35">
        <v>443915.98</v>
      </c>
      <c r="L10" s="34">
        <f t="shared" si="2"/>
        <v>100</v>
      </c>
      <c r="M10" s="101">
        <v>443915.98</v>
      </c>
      <c r="N10" s="147">
        <f t="shared" si="0"/>
        <v>1.7763108147409394</v>
      </c>
      <c r="O10" s="122"/>
      <c r="P10" s="152">
        <f t="shared" si="3"/>
        <v>0</v>
      </c>
      <c r="Q10" s="151">
        <f t="shared" si="1"/>
        <v>0</v>
      </c>
    </row>
    <row r="11" spans="1:17" s="11" customFormat="1" ht="12.75">
      <c r="A11" s="163" t="s">
        <v>21</v>
      </c>
      <c r="B11" s="9"/>
      <c r="C11" s="9"/>
      <c r="D11" s="10" t="s">
        <v>22</v>
      </c>
      <c r="E11" s="33" t="e">
        <f>E12</f>
        <v>#REF!</v>
      </c>
      <c r="F11" s="33" t="e">
        <f>F12</f>
        <v>#REF!</v>
      </c>
      <c r="G11" s="33" t="e">
        <f>G12</f>
        <v>#REF!</v>
      </c>
      <c r="H11" s="33" t="e">
        <f>H12</f>
        <v>#REF!</v>
      </c>
      <c r="I11" s="34" t="e">
        <f t="shared" si="4"/>
        <v>#REF!</v>
      </c>
      <c r="J11" s="33" t="e">
        <f>J12</f>
        <v>#REF!</v>
      </c>
      <c r="K11" s="33" t="e">
        <f>K12</f>
        <v>#REF!</v>
      </c>
      <c r="L11" s="34" t="e">
        <f t="shared" si="2"/>
        <v>#REF!</v>
      </c>
      <c r="M11" s="100">
        <f>M12</f>
        <v>9700</v>
      </c>
      <c r="N11" s="146">
        <f t="shared" si="0"/>
        <v>0.03881413528521121</v>
      </c>
      <c r="O11" s="121">
        <f>O12</f>
        <v>10000</v>
      </c>
      <c r="P11" s="152">
        <f t="shared" si="3"/>
        <v>103.09278350515463</v>
      </c>
      <c r="Q11" s="138">
        <f t="shared" si="1"/>
        <v>0.04305400520474703</v>
      </c>
    </row>
    <row r="12" spans="1:17" s="11" customFormat="1" ht="12.75">
      <c r="A12" s="164"/>
      <c r="B12" s="163" t="s">
        <v>23</v>
      </c>
      <c r="C12" s="9"/>
      <c r="D12" s="10" t="s">
        <v>19</v>
      </c>
      <c r="E12" s="33" t="e">
        <f>E13+#REF!</f>
        <v>#REF!</v>
      </c>
      <c r="F12" s="33" t="e">
        <f>F13+#REF!</f>
        <v>#REF!</v>
      </c>
      <c r="G12" s="33" t="e">
        <f>G13+#REF!</f>
        <v>#REF!</v>
      </c>
      <c r="H12" s="33" t="e">
        <f>H13+#REF!</f>
        <v>#REF!</v>
      </c>
      <c r="I12" s="34" t="e">
        <f t="shared" si="4"/>
        <v>#REF!</v>
      </c>
      <c r="J12" s="33" t="e">
        <f>J13+#REF!</f>
        <v>#REF!</v>
      </c>
      <c r="K12" s="33" t="e">
        <f>K13+#REF!</f>
        <v>#REF!</v>
      </c>
      <c r="L12" s="34" t="e">
        <f t="shared" si="2"/>
        <v>#REF!</v>
      </c>
      <c r="M12" s="100">
        <f>M13</f>
        <v>9700</v>
      </c>
      <c r="N12" s="146">
        <f t="shared" si="0"/>
        <v>0.03881413528521121</v>
      </c>
      <c r="O12" s="121">
        <f>O13</f>
        <v>10000</v>
      </c>
      <c r="P12" s="152">
        <f t="shared" si="3"/>
        <v>103.09278350515463</v>
      </c>
      <c r="Q12" s="138">
        <f t="shared" si="1"/>
        <v>0.04305400520474703</v>
      </c>
    </row>
    <row r="13" spans="1:17" ht="56.25">
      <c r="A13" s="164"/>
      <c r="B13" s="169"/>
      <c r="C13" s="28" t="s">
        <v>24</v>
      </c>
      <c r="D13" s="14" t="s">
        <v>210</v>
      </c>
      <c r="E13" s="39">
        <v>4077.46</v>
      </c>
      <c r="F13" s="40">
        <v>5500</v>
      </c>
      <c r="G13" s="39">
        <v>9500</v>
      </c>
      <c r="H13" s="39">
        <v>8029.65</v>
      </c>
      <c r="I13" s="34">
        <f t="shared" si="4"/>
        <v>84.52263157894735</v>
      </c>
      <c r="J13" s="35">
        <v>9500</v>
      </c>
      <c r="K13" s="35">
        <v>8029.65</v>
      </c>
      <c r="L13" s="37">
        <f t="shared" si="2"/>
        <v>84.52263157894735</v>
      </c>
      <c r="M13" s="102">
        <v>9700</v>
      </c>
      <c r="N13" s="147">
        <f t="shared" si="0"/>
        <v>0.03881413528521121</v>
      </c>
      <c r="O13" s="123">
        <v>10000</v>
      </c>
      <c r="P13" s="152">
        <f t="shared" si="3"/>
        <v>103.09278350515463</v>
      </c>
      <c r="Q13" s="151">
        <f t="shared" si="1"/>
        <v>0.04305400520474703</v>
      </c>
    </row>
    <row r="14" spans="1:17" s="11" customFormat="1" ht="12.75">
      <c r="A14" s="170">
        <v>600</v>
      </c>
      <c r="B14" s="9"/>
      <c r="C14" s="9"/>
      <c r="D14" s="10" t="s">
        <v>25</v>
      </c>
      <c r="E14" s="33" t="e">
        <f>E15+E17</f>
        <v>#REF!</v>
      </c>
      <c r="F14" s="33" t="e">
        <f>F15+F17</f>
        <v>#REF!</v>
      </c>
      <c r="G14" s="33" t="e">
        <f>G15+G17</f>
        <v>#REF!</v>
      </c>
      <c r="H14" s="33" t="e">
        <f>H15+H17</f>
        <v>#REF!</v>
      </c>
      <c r="I14" s="41" t="e">
        <f t="shared" si="4"/>
        <v>#REF!</v>
      </c>
      <c r="J14" s="51" t="e">
        <f>J15+J17</f>
        <v>#REF!</v>
      </c>
      <c r="K14" s="51" t="e">
        <f>K15+K17</f>
        <v>#REF!</v>
      </c>
      <c r="L14" s="36" t="e">
        <f t="shared" si="2"/>
        <v>#REF!</v>
      </c>
      <c r="M14" s="100">
        <f>M15+M17</f>
        <v>103363</v>
      </c>
      <c r="N14" s="146">
        <f t="shared" si="0"/>
        <v>0.41360262530776143</v>
      </c>
      <c r="O14" s="121">
        <f>O15+O17</f>
        <v>82000</v>
      </c>
      <c r="P14" s="152">
        <f t="shared" si="3"/>
        <v>79.3320627303774</v>
      </c>
      <c r="Q14" s="138">
        <f t="shared" si="1"/>
        <v>0.35304284267892566</v>
      </c>
    </row>
    <row r="15" spans="1:17" s="11" customFormat="1" ht="12.75">
      <c r="A15" s="170"/>
      <c r="B15" s="163">
        <v>60014</v>
      </c>
      <c r="C15" s="9"/>
      <c r="D15" s="10" t="s">
        <v>26</v>
      </c>
      <c r="E15" s="33">
        <f aca="true" t="shared" si="5" ref="E15:O15">E16</f>
        <v>102400</v>
      </c>
      <c r="F15" s="33">
        <f t="shared" si="5"/>
        <v>106000</v>
      </c>
      <c r="G15" s="33">
        <f t="shared" si="5"/>
        <v>55863</v>
      </c>
      <c r="H15" s="33">
        <f t="shared" si="5"/>
        <v>41897.25</v>
      </c>
      <c r="I15" s="33">
        <f t="shared" si="5"/>
        <v>75</v>
      </c>
      <c r="J15" s="33">
        <f t="shared" si="5"/>
        <v>55863</v>
      </c>
      <c r="K15" s="33">
        <f t="shared" si="5"/>
        <v>55863</v>
      </c>
      <c r="L15" s="33">
        <f t="shared" si="5"/>
        <v>100</v>
      </c>
      <c r="M15" s="100">
        <f>M16</f>
        <v>55863</v>
      </c>
      <c r="N15" s="146">
        <f t="shared" si="0"/>
        <v>0.22353340612760345</v>
      </c>
      <c r="O15" s="121">
        <f t="shared" si="5"/>
        <v>57000</v>
      </c>
      <c r="P15" s="152">
        <f t="shared" si="3"/>
        <v>102.03533644809623</v>
      </c>
      <c r="Q15" s="138">
        <f t="shared" si="1"/>
        <v>0.24540782966705807</v>
      </c>
    </row>
    <row r="16" spans="1:17" ht="13.5" customHeight="1">
      <c r="A16" s="170"/>
      <c r="B16" s="166"/>
      <c r="C16" s="13">
        <v>2320</v>
      </c>
      <c r="D16" s="14" t="s">
        <v>27</v>
      </c>
      <c r="E16" s="39">
        <v>102400</v>
      </c>
      <c r="F16" s="40">
        <v>106000</v>
      </c>
      <c r="G16" s="39">
        <v>55863</v>
      </c>
      <c r="H16" s="39">
        <v>41897.25</v>
      </c>
      <c r="I16" s="41">
        <f>(H16/G16)*100</f>
        <v>75</v>
      </c>
      <c r="J16" s="40">
        <v>55863</v>
      </c>
      <c r="K16" s="40">
        <v>55863</v>
      </c>
      <c r="L16" s="34">
        <f>K16/J16*100</f>
        <v>100</v>
      </c>
      <c r="M16" s="102">
        <v>55863</v>
      </c>
      <c r="N16" s="147">
        <f t="shared" si="0"/>
        <v>0.22353340612760345</v>
      </c>
      <c r="O16" s="123">
        <v>57000</v>
      </c>
      <c r="P16" s="152">
        <f t="shared" si="3"/>
        <v>102.03533644809623</v>
      </c>
      <c r="Q16" s="151">
        <f t="shared" si="1"/>
        <v>0.24540782966705807</v>
      </c>
    </row>
    <row r="17" spans="1:17" s="11" customFormat="1" ht="12.75">
      <c r="A17" s="170"/>
      <c r="B17" s="163">
        <v>60016</v>
      </c>
      <c r="C17" s="9"/>
      <c r="D17" s="10" t="s">
        <v>30</v>
      </c>
      <c r="E17" s="33" t="e">
        <f>#REF!+#REF!+E20+#REF!+#REF!+E18</f>
        <v>#REF!</v>
      </c>
      <c r="F17" s="33" t="e">
        <f>#REF!+#REF!+F20+#REF!+#REF!+F18</f>
        <v>#REF!</v>
      </c>
      <c r="G17" s="33" t="e">
        <f>#REF!+#REF!+G20+#REF!+#REF!+G18</f>
        <v>#REF!</v>
      </c>
      <c r="H17" s="33" t="e">
        <f>#REF!+#REF!+H20+#REF!+#REF!+H18</f>
        <v>#REF!</v>
      </c>
      <c r="I17" s="33" t="e">
        <f>#REF!+#REF!+I20+#REF!+#REF!+I18</f>
        <v>#REF!</v>
      </c>
      <c r="J17" s="33" t="e">
        <f>#REF!+#REF!+J20+#REF!+#REF!+J18</f>
        <v>#REF!</v>
      </c>
      <c r="K17" s="33" t="e">
        <f>#REF!+#REF!+K20+#REF!+#REF!+K18</f>
        <v>#REF!</v>
      </c>
      <c r="L17" s="33" t="e">
        <f>#REF!+#REF!+L20+#REF!+#REF!+L18</f>
        <v>#REF!</v>
      </c>
      <c r="M17" s="100">
        <f>M20+M18</f>
        <v>47500</v>
      </c>
      <c r="N17" s="146">
        <f t="shared" si="0"/>
        <v>0.19006921918015796</v>
      </c>
      <c r="O17" s="121">
        <f>O20+O18</f>
        <v>25000</v>
      </c>
      <c r="P17" s="152">
        <f t="shared" si="3"/>
        <v>52.63157894736842</v>
      </c>
      <c r="Q17" s="138">
        <f t="shared" si="1"/>
        <v>0.10763501301186758</v>
      </c>
    </row>
    <row r="18" spans="1:17" ht="45">
      <c r="A18" s="170"/>
      <c r="B18" s="166"/>
      <c r="C18" s="13" t="s">
        <v>159</v>
      </c>
      <c r="D18" s="14" t="s">
        <v>234</v>
      </c>
      <c r="E18" s="42"/>
      <c r="F18" s="43"/>
      <c r="G18" s="42"/>
      <c r="H18" s="42"/>
      <c r="I18" s="44"/>
      <c r="J18" s="43"/>
      <c r="K18" s="43"/>
      <c r="L18" s="34"/>
      <c r="M18" s="103"/>
      <c r="N18" s="147">
        <f t="shared" si="0"/>
        <v>0</v>
      </c>
      <c r="O18" s="124">
        <v>25000</v>
      </c>
      <c r="P18" s="152"/>
      <c r="Q18" s="151">
        <f t="shared" si="1"/>
        <v>0.10763501301186758</v>
      </c>
    </row>
    <row r="19" spans="1:17" ht="12.75">
      <c r="A19" s="170"/>
      <c r="B19" s="166"/>
      <c r="C19" s="13"/>
      <c r="D19" s="14" t="s">
        <v>233</v>
      </c>
      <c r="E19" s="42"/>
      <c r="F19" s="43"/>
      <c r="G19" s="42"/>
      <c r="H19" s="42"/>
      <c r="I19" s="44"/>
      <c r="J19" s="43"/>
      <c r="K19" s="43"/>
      <c r="L19" s="34"/>
      <c r="M19" s="103"/>
      <c r="N19" s="147">
        <f t="shared" si="0"/>
        <v>0</v>
      </c>
      <c r="O19" s="124">
        <v>25000</v>
      </c>
      <c r="P19" s="152"/>
      <c r="Q19" s="151">
        <f t="shared" si="1"/>
        <v>0.10763501301186758</v>
      </c>
    </row>
    <row r="20" spans="1:17" ht="33.75">
      <c r="A20" s="170"/>
      <c r="B20" s="166"/>
      <c r="C20" s="13" t="s">
        <v>28</v>
      </c>
      <c r="D20" s="14" t="s">
        <v>29</v>
      </c>
      <c r="E20" s="39"/>
      <c r="F20" s="40"/>
      <c r="G20" s="39">
        <v>47500</v>
      </c>
      <c r="H20" s="39"/>
      <c r="I20" s="41"/>
      <c r="J20" s="40">
        <v>47500</v>
      </c>
      <c r="K20" s="40"/>
      <c r="L20" s="34">
        <f>K20/J20*100</f>
        <v>0</v>
      </c>
      <c r="M20" s="102">
        <v>47500</v>
      </c>
      <c r="N20" s="147">
        <f t="shared" si="0"/>
        <v>0.19006921918015796</v>
      </c>
      <c r="O20" s="123"/>
      <c r="P20" s="152">
        <f t="shared" si="3"/>
        <v>0</v>
      </c>
      <c r="Q20" s="151">
        <f>O20/$O$249*100</f>
        <v>0</v>
      </c>
    </row>
    <row r="21" spans="1:17" s="11" customFormat="1" ht="12.75">
      <c r="A21" s="170">
        <v>700</v>
      </c>
      <c r="B21" s="9"/>
      <c r="C21" s="9"/>
      <c r="D21" s="10" t="s">
        <v>31</v>
      </c>
      <c r="E21" s="33" t="e">
        <f>E25+E22</f>
        <v>#REF!</v>
      </c>
      <c r="F21" s="33" t="e">
        <f>F25+F22</f>
        <v>#REF!</v>
      </c>
      <c r="G21" s="33" t="e">
        <f>G25+G22</f>
        <v>#REF!</v>
      </c>
      <c r="H21" s="33" t="e">
        <f>H25+H22</f>
        <v>#REF!</v>
      </c>
      <c r="I21" s="41" t="e">
        <f>(H21/G21)*100</f>
        <v>#REF!</v>
      </c>
      <c r="J21" s="51" t="e">
        <f>J22+J25</f>
        <v>#REF!</v>
      </c>
      <c r="K21" s="51" t="e">
        <f>K22+K25</f>
        <v>#REF!</v>
      </c>
      <c r="L21" s="36" t="e">
        <f>K21/J21*100</f>
        <v>#REF!</v>
      </c>
      <c r="M21" s="100">
        <f>M25+M22</f>
        <v>205122</v>
      </c>
      <c r="N21" s="146">
        <f t="shared" si="0"/>
        <v>0.8207869131931023</v>
      </c>
      <c r="O21" s="121">
        <f>O25+O22</f>
        <v>226050</v>
      </c>
      <c r="P21" s="152">
        <f t="shared" si="3"/>
        <v>110.2027086319361</v>
      </c>
      <c r="Q21" s="138">
        <f t="shared" si="1"/>
        <v>0.9732357876533065</v>
      </c>
    </row>
    <row r="22" spans="1:17" s="11" customFormat="1" ht="12.75">
      <c r="A22" s="170"/>
      <c r="B22" s="170" t="s">
        <v>32</v>
      </c>
      <c r="C22" s="9"/>
      <c r="D22" s="10" t="s">
        <v>33</v>
      </c>
      <c r="E22" s="33">
        <f aca="true" t="shared" si="6" ref="E22:O22">E24+E23</f>
        <v>6733.19</v>
      </c>
      <c r="F22" s="33">
        <f t="shared" si="6"/>
        <v>35500</v>
      </c>
      <c r="G22" s="33">
        <f t="shared" si="6"/>
        <v>35500</v>
      </c>
      <c r="H22" s="33">
        <f t="shared" si="6"/>
        <v>14210.740000000002</v>
      </c>
      <c r="I22" s="33">
        <f t="shared" si="6"/>
        <v>49.12556696428572</v>
      </c>
      <c r="J22" s="33">
        <f t="shared" si="6"/>
        <v>35500</v>
      </c>
      <c r="K22" s="33">
        <f t="shared" si="6"/>
        <v>17077.75</v>
      </c>
      <c r="L22" s="33">
        <f t="shared" si="6"/>
        <v>58.08497321428571</v>
      </c>
      <c r="M22" s="100">
        <f>M24+M23</f>
        <v>16250</v>
      </c>
      <c r="N22" s="146">
        <f t="shared" si="0"/>
        <v>0.06502368024584351</v>
      </c>
      <c r="O22" s="121">
        <f t="shared" si="6"/>
        <v>18250</v>
      </c>
      <c r="P22" s="152">
        <f t="shared" si="3"/>
        <v>112.3076923076923</v>
      </c>
      <c r="Q22" s="138">
        <f t="shared" si="1"/>
        <v>0.07857355949866333</v>
      </c>
    </row>
    <row r="23" spans="1:17" s="16" customFormat="1" ht="56.25">
      <c r="A23" s="170"/>
      <c r="B23" s="170"/>
      <c r="C23" s="28" t="s">
        <v>24</v>
      </c>
      <c r="D23" s="14" t="s">
        <v>210</v>
      </c>
      <c r="E23" s="40">
        <v>6733.19</v>
      </c>
      <c r="F23" s="40">
        <v>32000</v>
      </c>
      <c r="G23" s="40">
        <v>32000</v>
      </c>
      <c r="H23" s="40">
        <v>14025.37</v>
      </c>
      <c r="I23" s="41">
        <f>(H23/G23)*100</f>
        <v>43.82928125</v>
      </c>
      <c r="J23" s="40">
        <v>32000</v>
      </c>
      <c r="K23" s="40">
        <v>16892.38</v>
      </c>
      <c r="L23" s="34">
        <f>K23/J23*100</f>
        <v>52.788687499999995</v>
      </c>
      <c r="M23" s="102">
        <v>16000</v>
      </c>
      <c r="N23" s="147">
        <f t="shared" si="0"/>
        <v>0.064023315934369</v>
      </c>
      <c r="O23" s="125">
        <v>18000</v>
      </c>
      <c r="P23" s="152">
        <f t="shared" si="3"/>
        <v>112.5</v>
      </c>
      <c r="Q23" s="151">
        <f t="shared" si="1"/>
        <v>0.07749720936854465</v>
      </c>
    </row>
    <row r="24" spans="1:17" ht="12.75">
      <c r="A24" s="170"/>
      <c r="B24" s="170"/>
      <c r="C24" s="13" t="s">
        <v>16</v>
      </c>
      <c r="D24" s="14" t="s">
        <v>17</v>
      </c>
      <c r="E24" s="39"/>
      <c r="F24" s="40">
        <v>3500</v>
      </c>
      <c r="G24" s="39">
        <v>3500</v>
      </c>
      <c r="H24" s="39">
        <v>185.37</v>
      </c>
      <c r="I24" s="41">
        <f>(H24/G24)*100</f>
        <v>5.296285714285714</v>
      </c>
      <c r="J24" s="40">
        <v>3500</v>
      </c>
      <c r="K24" s="40">
        <v>185.37</v>
      </c>
      <c r="L24" s="34">
        <f>K24/J24*100</f>
        <v>5.296285714285714</v>
      </c>
      <c r="M24" s="102">
        <v>250</v>
      </c>
      <c r="N24" s="147">
        <f t="shared" si="0"/>
        <v>0.0010003643114745156</v>
      </c>
      <c r="O24" s="123">
        <v>250</v>
      </c>
      <c r="P24" s="152">
        <f t="shared" si="3"/>
        <v>100</v>
      </c>
      <c r="Q24" s="151">
        <f t="shared" si="1"/>
        <v>0.0010763501301186758</v>
      </c>
    </row>
    <row r="25" spans="1:17" s="11" customFormat="1" ht="12.75">
      <c r="A25" s="170"/>
      <c r="B25" s="170">
        <v>70005</v>
      </c>
      <c r="C25" s="9"/>
      <c r="D25" s="10" t="s">
        <v>34</v>
      </c>
      <c r="E25" s="33" t="e">
        <f>E26+E27+E28+E30+E31+E32+E33+#REF!+#REF!+#REF!+E29+#REF!+#REF!</f>
        <v>#REF!</v>
      </c>
      <c r="F25" s="33" t="e">
        <f>F26+F27+F28+F30+F31+F32+F33+#REF!+#REF!+#REF!+F29+#REF!+#REF!</f>
        <v>#REF!</v>
      </c>
      <c r="G25" s="33" t="e">
        <f>G26+G27+G28+G30+G31+G32+G33+#REF!+#REF!+#REF!+G29+#REF!+#REF!</f>
        <v>#REF!</v>
      </c>
      <c r="H25" s="33" t="e">
        <f>H26+H27+H28+H30+H31+H32+H33+#REF!+#REF!+#REF!+H29+#REF!+#REF!</f>
        <v>#REF!</v>
      </c>
      <c r="I25" s="33" t="e">
        <f>I26+I27+I28+I30+I31+I32+I33+#REF!+#REF!+#REF!+I29+#REF!+#REF!</f>
        <v>#DIV/0!</v>
      </c>
      <c r="J25" s="33" t="e">
        <f>J26+J27+J28+J30+J31+J32+J33+#REF!+#REF!+#REF!+J29+#REF!+#REF!</f>
        <v>#REF!</v>
      </c>
      <c r="K25" s="33" t="e">
        <f>K26+K27+K28+K30+K31+K32+K33+#REF!+#REF!+#REF!+K29+#REF!+#REF!</f>
        <v>#REF!</v>
      </c>
      <c r="L25" s="33" t="e">
        <f>L26+L27+L28+L30+L31+L32+L33+#REF!+#REF!+#REF!+L29+#REF!+#REF!</f>
        <v>#DIV/0!</v>
      </c>
      <c r="M25" s="100">
        <f>M26+M27+M28+M30+M31+M32+M33+M29</f>
        <v>188872</v>
      </c>
      <c r="N25" s="146">
        <f t="shared" si="0"/>
        <v>0.7557632329472588</v>
      </c>
      <c r="O25" s="121">
        <f>O26+O27+O28+O30+O31+O32+O33+O29</f>
        <v>207800</v>
      </c>
      <c r="P25" s="152">
        <f t="shared" si="3"/>
        <v>110.02160193146682</v>
      </c>
      <c r="Q25" s="138">
        <f t="shared" si="1"/>
        <v>0.8946622281546434</v>
      </c>
    </row>
    <row r="26" spans="1:17" ht="22.5">
      <c r="A26" s="156"/>
      <c r="B26" s="156"/>
      <c r="C26" s="13" t="s">
        <v>35</v>
      </c>
      <c r="D26" s="14" t="s">
        <v>36</v>
      </c>
      <c r="E26" s="39">
        <v>39318.92</v>
      </c>
      <c r="F26" s="40">
        <v>50000</v>
      </c>
      <c r="G26" s="39">
        <v>50000</v>
      </c>
      <c r="H26" s="39">
        <v>41443.31</v>
      </c>
      <c r="I26" s="41">
        <f aca="true" t="shared" si="7" ref="I26:I33">(H26/G26)*100</f>
        <v>82.88662</v>
      </c>
      <c r="J26" s="40">
        <v>50000</v>
      </c>
      <c r="K26" s="40">
        <v>41773.51</v>
      </c>
      <c r="L26" s="34">
        <f aca="true" t="shared" si="8" ref="L26:L34">K26/J26*100</f>
        <v>83.54702</v>
      </c>
      <c r="M26" s="102">
        <v>45000</v>
      </c>
      <c r="N26" s="147">
        <f t="shared" si="0"/>
        <v>0.1800655760654128</v>
      </c>
      <c r="O26" s="123">
        <v>47000</v>
      </c>
      <c r="P26" s="152">
        <f t="shared" si="3"/>
        <v>104.44444444444446</v>
      </c>
      <c r="Q26" s="151">
        <f t="shared" si="1"/>
        <v>0.20235382446231104</v>
      </c>
    </row>
    <row r="27" spans="1:17" ht="33.75">
      <c r="A27" s="156"/>
      <c r="B27" s="156"/>
      <c r="C27" s="13" t="s">
        <v>9</v>
      </c>
      <c r="D27" s="14" t="s">
        <v>185</v>
      </c>
      <c r="E27" s="39"/>
      <c r="F27" s="40"/>
      <c r="G27" s="39"/>
      <c r="H27" s="39"/>
      <c r="I27" s="41" t="e">
        <f t="shared" si="7"/>
        <v>#DIV/0!</v>
      </c>
      <c r="J27" s="40"/>
      <c r="K27" s="40"/>
      <c r="L27" s="34" t="e">
        <f t="shared" si="8"/>
        <v>#DIV/0!</v>
      </c>
      <c r="M27" s="102"/>
      <c r="N27" s="147">
        <f t="shared" si="0"/>
        <v>0</v>
      </c>
      <c r="O27" s="123">
        <v>10000</v>
      </c>
      <c r="P27" s="152"/>
      <c r="Q27" s="151">
        <f t="shared" si="1"/>
        <v>0.04305400520474703</v>
      </c>
    </row>
    <row r="28" spans="1:17" ht="22.5">
      <c r="A28" s="156"/>
      <c r="B28" s="156"/>
      <c r="C28" s="13" t="s">
        <v>24</v>
      </c>
      <c r="D28" s="14" t="s">
        <v>37</v>
      </c>
      <c r="E28" s="39">
        <v>47786.95</v>
      </c>
      <c r="F28" s="40">
        <v>65000</v>
      </c>
      <c r="G28" s="39">
        <v>65000</v>
      </c>
      <c r="H28" s="39">
        <v>52912.49</v>
      </c>
      <c r="I28" s="41">
        <f t="shared" si="7"/>
        <v>81.40383076923077</v>
      </c>
      <c r="J28" s="40">
        <v>65000</v>
      </c>
      <c r="K28" s="40">
        <v>58578.27</v>
      </c>
      <c r="L28" s="34">
        <f t="shared" si="8"/>
        <v>90.12041538461538</v>
      </c>
      <c r="M28" s="102">
        <v>71000</v>
      </c>
      <c r="N28" s="147">
        <f t="shared" si="0"/>
        <v>0.28410346445876244</v>
      </c>
      <c r="O28" s="123">
        <v>74000</v>
      </c>
      <c r="P28" s="152">
        <f t="shared" si="3"/>
        <v>104.22535211267605</v>
      </c>
      <c r="Q28" s="151">
        <f t="shared" si="1"/>
        <v>0.318599638515128</v>
      </c>
    </row>
    <row r="29" spans="1:17" ht="33.75">
      <c r="A29" s="156"/>
      <c r="B29" s="156"/>
      <c r="C29" s="13" t="s">
        <v>12</v>
      </c>
      <c r="D29" s="14" t="s">
        <v>13</v>
      </c>
      <c r="E29" s="39">
        <v>404426.18</v>
      </c>
      <c r="F29" s="40">
        <v>250000</v>
      </c>
      <c r="G29" s="39">
        <v>120000</v>
      </c>
      <c r="H29" s="39">
        <v>31283.89</v>
      </c>
      <c r="I29" s="41">
        <f t="shared" si="7"/>
        <v>26.06990833333333</v>
      </c>
      <c r="J29" s="40">
        <v>120000</v>
      </c>
      <c r="K29" s="40">
        <v>31630.29</v>
      </c>
      <c r="L29" s="34">
        <f t="shared" si="8"/>
        <v>26.358575000000002</v>
      </c>
      <c r="M29" s="102">
        <v>65252</v>
      </c>
      <c r="N29" s="147">
        <f t="shared" si="0"/>
        <v>0.26110308820934036</v>
      </c>
      <c r="O29" s="123">
        <v>70000</v>
      </c>
      <c r="P29" s="152">
        <f t="shared" si="3"/>
        <v>107.2764053209097</v>
      </c>
      <c r="Q29" s="151">
        <f t="shared" si="1"/>
        <v>0.3013780364332292</v>
      </c>
    </row>
    <row r="30" spans="1:17" ht="12.75">
      <c r="A30" s="156"/>
      <c r="B30" s="156"/>
      <c r="C30" s="13" t="s">
        <v>39</v>
      </c>
      <c r="D30" s="14" t="s">
        <v>40</v>
      </c>
      <c r="E30" s="39">
        <v>1500</v>
      </c>
      <c r="F30" s="40">
        <v>1000</v>
      </c>
      <c r="G30" s="39">
        <v>1000</v>
      </c>
      <c r="H30" s="39">
        <v>820</v>
      </c>
      <c r="I30" s="41">
        <f t="shared" si="7"/>
        <v>82</v>
      </c>
      <c r="J30" s="40">
        <v>1000</v>
      </c>
      <c r="K30" s="40">
        <v>820</v>
      </c>
      <c r="L30" s="34">
        <f t="shared" si="8"/>
        <v>82</v>
      </c>
      <c r="M30" s="102">
        <v>820</v>
      </c>
      <c r="N30" s="147">
        <f t="shared" si="0"/>
        <v>0.003281194941636411</v>
      </c>
      <c r="O30" s="123">
        <v>1000</v>
      </c>
      <c r="P30" s="152">
        <f t="shared" si="3"/>
        <v>121.95121951219512</v>
      </c>
      <c r="Q30" s="151">
        <f t="shared" si="1"/>
        <v>0.004305400520474703</v>
      </c>
    </row>
    <row r="31" spans="1:17" ht="12.75">
      <c r="A31" s="156"/>
      <c r="B31" s="156"/>
      <c r="C31" s="13" t="s">
        <v>41</v>
      </c>
      <c r="D31" s="14" t="s">
        <v>42</v>
      </c>
      <c r="E31" s="39">
        <v>939.59</v>
      </c>
      <c r="F31" s="40">
        <v>1000</v>
      </c>
      <c r="G31" s="39">
        <v>2200</v>
      </c>
      <c r="H31" s="39">
        <v>788.45</v>
      </c>
      <c r="I31" s="41">
        <f t="shared" si="7"/>
        <v>35.83863636363637</v>
      </c>
      <c r="J31" s="40">
        <v>2200</v>
      </c>
      <c r="K31" s="40">
        <v>874.43</v>
      </c>
      <c r="L31" s="34">
        <f t="shared" si="8"/>
        <v>39.74681818181818</v>
      </c>
      <c r="M31" s="102">
        <v>1000</v>
      </c>
      <c r="N31" s="147">
        <f t="shared" si="0"/>
        <v>0.004001457245898062</v>
      </c>
      <c r="O31" s="123">
        <v>1300</v>
      </c>
      <c r="P31" s="152">
        <f t="shared" si="3"/>
        <v>130</v>
      </c>
      <c r="Q31" s="151">
        <f t="shared" si="1"/>
        <v>0.005597020676617114</v>
      </c>
    </row>
    <row r="32" spans="1:17" ht="12.75">
      <c r="A32" s="156"/>
      <c r="B32" s="156"/>
      <c r="C32" s="13" t="s">
        <v>14</v>
      </c>
      <c r="D32" s="14" t="s">
        <v>15</v>
      </c>
      <c r="E32" s="39">
        <v>838.84</v>
      </c>
      <c r="F32" s="40">
        <v>1000</v>
      </c>
      <c r="G32" s="39">
        <v>1000</v>
      </c>
      <c r="H32" s="39"/>
      <c r="I32" s="41">
        <f t="shared" si="7"/>
        <v>0</v>
      </c>
      <c r="J32" s="40">
        <v>1000</v>
      </c>
      <c r="K32" s="40">
        <v>1600</v>
      </c>
      <c r="L32" s="34">
        <f t="shared" si="8"/>
        <v>160</v>
      </c>
      <c r="M32" s="102">
        <v>1800</v>
      </c>
      <c r="N32" s="147">
        <f t="shared" si="0"/>
        <v>0.007202623042616512</v>
      </c>
      <c r="O32" s="123">
        <v>1000</v>
      </c>
      <c r="P32" s="152">
        <f t="shared" si="3"/>
        <v>55.55555555555556</v>
      </c>
      <c r="Q32" s="151">
        <f t="shared" si="1"/>
        <v>0.004305400520474703</v>
      </c>
    </row>
    <row r="33" spans="1:17" ht="12.75">
      <c r="A33" s="156"/>
      <c r="B33" s="156"/>
      <c r="C33" s="13" t="s">
        <v>16</v>
      </c>
      <c r="D33" s="14" t="s">
        <v>17</v>
      </c>
      <c r="E33" s="39">
        <v>20458.92</v>
      </c>
      <c r="F33" s="40">
        <v>40000</v>
      </c>
      <c r="G33" s="39">
        <v>40000</v>
      </c>
      <c r="H33" s="39">
        <v>3898.8</v>
      </c>
      <c r="I33" s="41">
        <f t="shared" si="7"/>
        <v>9.747</v>
      </c>
      <c r="J33" s="40">
        <v>40000</v>
      </c>
      <c r="K33" s="40">
        <v>3898.8</v>
      </c>
      <c r="L33" s="34">
        <f t="shared" si="8"/>
        <v>9.747</v>
      </c>
      <c r="M33" s="102">
        <v>4000</v>
      </c>
      <c r="N33" s="147">
        <f t="shared" si="0"/>
        <v>0.01600582898359225</v>
      </c>
      <c r="O33" s="122">
        <v>3500</v>
      </c>
      <c r="P33" s="152">
        <f t="shared" si="3"/>
        <v>87.5</v>
      </c>
      <c r="Q33" s="151">
        <f t="shared" si="1"/>
        <v>0.01506890182166146</v>
      </c>
    </row>
    <row r="34" spans="1:17" s="11" customFormat="1" ht="12.75">
      <c r="A34" s="170">
        <v>710</v>
      </c>
      <c r="B34" s="9"/>
      <c r="C34" s="9"/>
      <c r="D34" s="10" t="s">
        <v>43</v>
      </c>
      <c r="E34" s="33">
        <f aca="true" t="shared" si="9" ref="E34:H35">E35</f>
        <v>2900</v>
      </c>
      <c r="F34" s="33">
        <f t="shared" si="9"/>
        <v>0</v>
      </c>
      <c r="G34" s="33">
        <f t="shared" si="9"/>
        <v>3500</v>
      </c>
      <c r="H34" s="33">
        <f t="shared" si="9"/>
        <v>3500</v>
      </c>
      <c r="I34" s="41">
        <f>(H34/G34)*100</f>
        <v>100</v>
      </c>
      <c r="J34" s="51">
        <f>J35</f>
        <v>3500</v>
      </c>
      <c r="K34" s="51">
        <f>K35</f>
        <v>3500</v>
      </c>
      <c r="L34" s="34">
        <f t="shared" si="8"/>
        <v>100</v>
      </c>
      <c r="M34" s="100">
        <f>M35</f>
        <v>3500</v>
      </c>
      <c r="N34" s="146">
        <f t="shared" si="0"/>
        <v>0.01400510036064322</v>
      </c>
      <c r="O34" s="121">
        <f>O35</f>
        <v>3000</v>
      </c>
      <c r="P34" s="152">
        <f t="shared" si="3"/>
        <v>85.71428571428571</v>
      </c>
      <c r="Q34" s="138">
        <f t="shared" si="1"/>
        <v>0.012916201561424109</v>
      </c>
    </row>
    <row r="35" spans="1:17" s="11" customFormat="1" ht="12.75">
      <c r="A35" s="170"/>
      <c r="B35" s="163" t="s">
        <v>44</v>
      </c>
      <c r="C35" s="9"/>
      <c r="D35" s="10" t="s">
        <v>45</v>
      </c>
      <c r="E35" s="33">
        <f t="shared" si="9"/>
        <v>2900</v>
      </c>
      <c r="F35" s="33">
        <f t="shared" si="9"/>
        <v>0</v>
      </c>
      <c r="G35" s="33">
        <f t="shared" si="9"/>
        <v>3500</v>
      </c>
      <c r="H35" s="33">
        <f t="shared" si="9"/>
        <v>3500</v>
      </c>
      <c r="I35" s="33">
        <f>I36</f>
        <v>100</v>
      </c>
      <c r="J35" s="33">
        <f>J36</f>
        <v>3500</v>
      </c>
      <c r="K35" s="33">
        <f>K36</f>
        <v>3500</v>
      </c>
      <c r="L35" s="33">
        <f>L36</f>
        <v>100</v>
      </c>
      <c r="M35" s="100">
        <f>M36</f>
        <v>3500</v>
      </c>
      <c r="N35" s="146">
        <f t="shared" si="0"/>
        <v>0.01400510036064322</v>
      </c>
      <c r="O35" s="121">
        <f>O36</f>
        <v>3000</v>
      </c>
      <c r="P35" s="152">
        <f t="shared" si="3"/>
        <v>85.71428571428571</v>
      </c>
      <c r="Q35" s="138">
        <f t="shared" si="1"/>
        <v>0.012916201561424109</v>
      </c>
    </row>
    <row r="36" spans="1:17" ht="45">
      <c r="A36" s="156"/>
      <c r="B36" s="169"/>
      <c r="C36" s="13" t="s">
        <v>46</v>
      </c>
      <c r="D36" s="14" t="s">
        <v>47</v>
      </c>
      <c r="E36" s="39">
        <v>2900</v>
      </c>
      <c r="F36" s="45"/>
      <c r="G36" s="39">
        <v>3500</v>
      </c>
      <c r="H36" s="39">
        <v>3500</v>
      </c>
      <c r="I36" s="41">
        <f>(H36/G36)*100</f>
        <v>100</v>
      </c>
      <c r="J36" s="40">
        <v>3500</v>
      </c>
      <c r="K36" s="40">
        <v>3500</v>
      </c>
      <c r="L36" s="34">
        <f>K36/J36*100</f>
        <v>100</v>
      </c>
      <c r="M36" s="102">
        <v>3500</v>
      </c>
      <c r="N36" s="147">
        <f t="shared" si="0"/>
        <v>0.01400510036064322</v>
      </c>
      <c r="O36" s="123">
        <v>3000</v>
      </c>
      <c r="P36" s="152">
        <f t="shared" si="3"/>
        <v>85.71428571428571</v>
      </c>
      <c r="Q36" s="151">
        <f>O36/$O$249*100</f>
        <v>0.012916201561424109</v>
      </c>
    </row>
    <row r="37" spans="1:17" s="11" customFormat="1" ht="12.75">
      <c r="A37" s="163">
        <v>750</v>
      </c>
      <c r="B37" s="9"/>
      <c r="C37" s="9"/>
      <c r="D37" s="10" t="s">
        <v>48</v>
      </c>
      <c r="E37" s="33" t="e">
        <f>E38+E40+#REF!+E48</f>
        <v>#REF!</v>
      </c>
      <c r="F37" s="33" t="e">
        <f>F38+F40+#REF!+F48</f>
        <v>#REF!</v>
      </c>
      <c r="G37" s="33" t="e">
        <f>G38+G40+#REF!+G48</f>
        <v>#REF!</v>
      </c>
      <c r="H37" s="33" t="e">
        <f>H38+H40+#REF!+H48</f>
        <v>#REF!</v>
      </c>
      <c r="I37" s="41" t="e">
        <f>(H37/G37)*100</f>
        <v>#REF!</v>
      </c>
      <c r="J37" s="51" t="e">
        <f>J38+J40+#REF!+J48</f>
        <v>#REF!</v>
      </c>
      <c r="K37" s="51" t="e">
        <f>K38+K40+#REF!+K48</f>
        <v>#REF!</v>
      </c>
      <c r="L37" s="36" t="e">
        <f>K37/J37*100</f>
        <v>#REF!</v>
      </c>
      <c r="M37" s="104">
        <f>M38+M40+M48</f>
        <v>83897.65</v>
      </c>
      <c r="N37" s="146">
        <f t="shared" si="0"/>
        <v>0.3357128595063195</v>
      </c>
      <c r="O37" s="126">
        <f>O38+O40+O48</f>
        <v>65726</v>
      </c>
      <c r="P37" s="152">
        <f t="shared" si="3"/>
        <v>78.3406924985384</v>
      </c>
      <c r="Q37" s="138">
        <f t="shared" si="1"/>
        <v>0.2829767546087203</v>
      </c>
    </row>
    <row r="38" spans="1:17" s="11" customFormat="1" ht="12.75">
      <c r="A38" s="164"/>
      <c r="B38" s="163">
        <v>75011</v>
      </c>
      <c r="C38" s="9"/>
      <c r="D38" s="10" t="s">
        <v>49</v>
      </c>
      <c r="E38" s="33">
        <f aca="true" t="shared" si="10" ref="E38:O38">E39</f>
        <v>60800</v>
      </c>
      <c r="F38" s="33">
        <f t="shared" si="10"/>
        <v>52911</v>
      </c>
      <c r="G38" s="33">
        <f t="shared" si="10"/>
        <v>52771</v>
      </c>
      <c r="H38" s="33">
        <f t="shared" si="10"/>
        <v>40770</v>
      </c>
      <c r="I38" s="33">
        <f t="shared" si="10"/>
        <v>77.2583426503193</v>
      </c>
      <c r="J38" s="33">
        <f t="shared" si="10"/>
        <v>52771</v>
      </c>
      <c r="K38" s="33">
        <f t="shared" si="10"/>
        <v>44560</v>
      </c>
      <c r="L38" s="33">
        <f t="shared" si="10"/>
        <v>84.44031759868109</v>
      </c>
      <c r="M38" s="100">
        <f>M39</f>
        <v>52771</v>
      </c>
      <c r="N38" s="146">
        <f t="shared" si="0"/>
        <v>0.21116090032328666</v>
      </c>
      <c r="O38" s="121">
        <f t="shared" si="10"/>
        <v>50476</v>
      </c>
      <c r="P38" s="152">
        <f t="shared" si="3"/>
        <v>95.65102044683633</v>
      </c>
      <c r="Q38" s="138">
        <f t="shared" si="1"/>
        <v>0.2173193966714811</v>
      </c>
    </row>
    <row r="39" spans="1:17" ht="33.75">
      <c r="A39" s="164"/>
      <c r="B39" s="166"/>
      <c r="C39" s="13">
        <v>2010</v>
      </c>
      <c r="D39" s="14" t="s">
        <v>50</v>
      </c>
      <c r="E39" s="39">
        <v>60800</v>
      </c>
      <c r="F39" s="40">
        <v>52911</v>
      </c>
      <c r="G39" s="39">
        <v>52771</v>
      </c>
      <c r="H39" s="39">
        <v>40770</v>
      </c>
      <c r="I39" s="41">
        <f aca="true" t="shared" si="11" ref="I39:I47">(H39/G39)*100</f>
        <v>77.2583426503193</v>
      </c>
      <c r="J39" s="40">
        <v>52771</v>
      </c>
      <c r="K39" s="40">
        <v>44560</v>
      </c>
      <c r="L39" s="34">
        <f>K39/J39*100</f>
        <v>84.44031759868109</v>
      </c>
      <c r="M39" s="102">
        <v>52771</v>
      </c>
      <c r="N39" s="147">
        <f t="shared" si="0"/>
        <v>0.21116090032328666</v>
      </c>
      <c r="O39" s="123">
        <v>50476</v>
      </c>
      <c r="P39" s="152">
        <f t="shared" si="3"/>
        <v>95.65102044683633</v>
      </c>
      <c r="Q39" s="151">
        <f t="shared" si="1"/>
        <v>0.2173193966714811</v>
      </c>
    </row>
    <row r="40" spans="1:17" s="11" customFormat="1" ht="21">
      <c r="A40" s="164"/>
      <c r="B40" s="163">
        <v>75023</v>
      </c>
      <c r="C40" s="9"/>
      <c r="D40" s="10" t="s">
        <v>51</v>
      </c>
      <c r="E40" s="33">
        <f>E41+E42+E43+E46+E47+E45+E44</f>
        <v>10830.95</v>
      </c>
      <c r="F40" s="33">
        <f>F41+F42+F43+F46+F47+F45+F44</f>
        <v>14270</v>
      </c>
      <c r="G40" s="33">
        <f>G41+G42+G43+G46+G47+G45+G44</f>
        <v>16270</v>
      </c>
      <c r="H40" s="33">
        <f>H41+H42+H43+H46+H47+H45+H44</f>
        <v>11755.06</v>
      </c>
      <c r="I40" s="41">
        <f t="shared" si="11"/>
        <v>72.2499078057775</v>
      </c>
      <c r="J40" s="33">
        <f aca="true" t="shared" si="12" ref="J40:O40">J41+J42+J43+J46+J47+J45+J44</f>
        <v>16270</v>
      </c>
      <c r="K40" s="33">
        <f t="shared" si="12"/>
        <v>12445.4</v>
      </c>
      <c r="L40" s="33">
        <f t="shared" si="12"/>
        <v>448.54508333333337</v>
      </c>
      <c r="M40" s="100">
        <f>M41+M42+M43+M46+M47+M45+M44</f>
        <v>13859.69</v>
      </c>
      <c r="N40" s="146">
        <f t="shared" si="0"/>
        <v>0.055458956976400915</v>
      </c>
      <c r="O40" s="121">
        <f t="shared" si="12"/>
        <v>15250</v>
      </c>
      <c r="P40" s="152">
        <f t="shared" si="3"/>
        <v>110.03132104686324</v>
      </c>
      <c r="Q40" s="138">
        <f t="shared" si="1"/>
        <v>0.06565735793723922</v>
      </c>
    </row>
    <row r="41" spans="1:17" ht="56.25">
      <c r="A41" s="164"/>
      <c r="B41" s="166"/>
      <c r="C41" s="13" t="s">
        <v>24</v>
      </c>
      <c r="D41" s="14" t="s">
        <v>210</v>
      </c>
      <c r="E41" s="39">
        <v>587.8</v>
      </c>
      <c r="F41" s="40">
        <v>700</v>
      </c>
      <c r="G41" s="39">
        <v>900</v>
      </c>
      <c r="H41" s="39">
        <v>243.9</v>
      </c>
      <c r="I41" s="41">
        <f t="shared" si="11"/>
        <v>27.1</v>
      </c>
      <c r="J41" s="40">
        <v>900</v>
      </c>
      <c r="K41" s="40">
        <v>243.9</v>
      </c>
      <c r="L41" s="34">
        <f>K41/J41*100</f>
        <v>27.1</v>
      </c>
      <c r="M41" s="102">
        <v>250</v>
      </c>
      <c r="N41" s="147">
        <f t="shared" si="0"/>
        <v>0.0010003643114745156</v>
      </c>
      <c r="O41" s="123">
        <v>350</v>
      </c>
      <c r="P41" s="152">
        <f t="shared" si="3"/>
        <v>140</v>
      </c>
      <c r="Q41" s="151">
        <f t="shared" si="1"/>
        <v>0.0015068901821661462</v>
      </c>
    </row>
    <row r="42" spans="1:17" ht="12.75">
      <c r="A42" s="164"/>
      <c r="B42" s="166"/>
      <c r="C42" s="13" t="s">
        <v>52</v>
      </c>
      <c r="D42" s="14" t="s">
        <v>53</v>
      </c>
      <c r="E42" s="39">
        <v>37.85</v>
      </c>
      <c r="F42" s="40">
        <v>50</v>
      </c>
      <c r="G42" s="39">
        <v>50</v>
      </c>
      <c r="H42" s="39">
        <v>40</v>
      </c>
      <c r="I42" s="41">
        <f t="shared" si="11"/>
        <v>80</v>
      </c>
      <c r="J42" s="40">
        <v>50</v>
      </c>
      <c r="K42" s="40">
        <v>40</v>
      </c>
      <c r="L42" s="34">
        <f>K42/J42*100</f>
        <v>80</v>
      </c>
      <c r="M42" s="102">
        <v>40</v>
      </c>
      <c r="N42" s="147">
        <f t="shared" si="0"/>
        <v>0.0001600582898359225</v>
      </c>
      <c r="O42" s="123">
        <v>50</v>
      </c>
      <c r="P42" s="152">
        <f t="shared" si="3"/>
        <v>125</v>
      </c>
      <c r="Q42" s="151">
        <f t="shared" si="1"/>
        <v>0.00021527002602373516</v>
      </c>
    </row>
    <row r="43" spans="1:17" ht="22.5">
      <c r="A43" s="164"/>
      <c r="B43" s="166"/>
      <c r="C43" s="13" t="s">
        <v>38</v>
      </c>
      <c r="D43" s="14" t="s">
        <v>54</v>
      </c>
      <c r="E43" s="39">
        <v>8564.67</v>
      </c>
      <c r="F43" s="40">
        <v>12000</v>
      </c>
      <c r="G43" s="39">
        <v>12000</v>
      </c>
      <c r="H43" s="39">
        <v>7145.27</v>
      </c>
      <c r="I43" s="41">
        <f t="shared" si="11"/>
        <v>59.543916666666675</v>
      </c>
      <c r="J43" s="40">
        <v>12000</v>
      </c>
      <c r="K43" s="40">
        <v>7804.61</v>
      </c>
      <c r="L43" s="34">
        <f>K43/J43*100</f>
        <v>65.03841666666666</v>
      </c>
      <c r="M43" s="102">
        <v>9100</v>
      </c>
      <c r="N43" s="147">
        <f t="shared" si="0"/>
        <v>0.036413260937672366</v>
      </c>
      <c r="O43" s="123">
        <v>10000</v>
      </c>
      <c r="P43" s="152">
        <f t="shared" si="3"/>
        <v>109.8901098901099</v>
      </c>
      <c r="Q43" s="151">
        <f t="shared" si="1"/>
        <v>0.04305400520474703</v>
      </c>
    </row>
    <row r="44" spans="1:17" ht="12.75">
      <c r="A44" s="164"/>
      <c r="B44" s="166"/>
      <c r="C44" s="13" t="s">
        <v>39</v>
      </c>
      <c r="D44" s="14" t="s">
        <v>40</v>
      </c>
      <c r="E44" s="39"/>
      <c r="F44" s="40"/>
      <c r="G44" s="39"/>
      <c r="H44" s="39">
        <v>1367.99</v>
      </c>
      <c r="I44" s="41" t="e">
        <f t="shared" si="11"/>
        <v>#DIV/0!</v>
      </c>
      <c r="J44" s="40"/>
      <c r="K44" s="40">
        <v>1367.99</v>
      </c>
      <c r="L44" s="34"/>
      <c r="M44" s="102">
        <v>1367.99</v>
      </c>
      <c r="N44" s="147">
        <f t="shared" si="0"/>
        <v>0.005473953497816091</v>
      </c>
      <c r="O44" s="123">
        <v>1500</v>
      </c>
      <c r="P44" s="152">
        <f t="shared" si="3"/>
        <v>109.64992434155221</v>
      </c>
      <c r="Q44" s="151">
        <f t="shared" si="1"/>
        <v>0.0064581007807120545</v>
      </c>
    </row>
    <row r="45" spans="1:17" ht="16.5" customHeight="1">
      <c r="A45" s="164"/>
      <c r="B45" s="166"/>
      <c r="C45" s="13" t="s">
        <v>14</v>
      </c>
      <c r="D45" s="14" t="s">
        <v>55</v>
      </c>
      <c r="E45" s="39">
        <v>590</v>
      </c>
      <c r="F45" s="40">
        <v>300</v>
      </c>
      <c r="G45" s="39">
        <v>300</v>
      </c>
      <c r="H45" s="39">
        <v>230</v>
      </c>
      <c r="I45" s="41">
        <f t="shared" si="11"/>
        <v>76.66666666666667</v>
      </c>
      <c r="J45" s="40">
        <v>300</v>
      </c>
      <c r="K45" s="40">
        <v>230</v>
      </c>
      <c r="L45" s="34">
        <f>K45/J45*100</f>
        <v>76.66666666666667</v>
      </c>
      <c r="M45" s="102">
        <v>230</v>
      </c>
      <c r="N45" s="147">
        <f t="shared" si="0"/>
        <v>0.0009203351665565543</v>
      </c>
      <c r="O45" s="123">
        <v>300</v>
      </c>
      <c r="P45" s="152">
        <f t="shared" si="3"/>
        <v>130.43478260869566</v>
      </c>
      <c r="Q45" s="151">
        <f t="shared" si="1"/>
        <v>0.001291620156142411</v>
      </c>
    </row>
    <row r="46" spans="1:17" ht="12.75">
      <c r="A46" s="164"/>
      <c r="B46" s="166"/>
      <c r="C46" s="13" t="s">
        <v>16</v>
      </c>
      <c r="D46" s="14" t="s">
        <v>17</v>
      </c>
      <c r="E46" s="39">
        <v>1028.93</v>
      </c>
      <c r="F46" s="40">
        <v>1200</v>
      </c>
      <c r="G46" s="39">
        <v>3000</v>
      </c>
      <c r="H46" s="39">
        <v>2706.2</v>
      </c>
      <c r="I46" s="41">
        <f t="shared" si="11"/>
        <v>90.20666666666666</v>
      </c>
      <c r="J46" s="40">
        <v>3000</v>
      </c>
      <c r="K46" s="40">
        <v>2737.2</v>
      </c>
      <c r="L46" s="34">
        <f>K46/J46*100</f>
        <v>91.24</v>
      </c>
      <c r="M46" s="102">
        <v>2850</v>
      </c>
      <c r="N46" s="147">
        <f t="shared" si="0"/>
        <v>0.011404153150809478</v>
      </c>
      <c r="O46" s="123">
        <v>3000</v>
      </c>
      <c r="P46" s="152">
        <f t="shared" si="3"/>
        <v>105.26315789473684</v>
      </c>
      <c r="Q46" s="151">
        <f t="shared" si="1"/>
        <v>0.012916201561424109</v>
      </c>
    </row>
    <row r="47" spans="1:17" ht="33.75">
      <c r="A47" s="164"/>
      <c r="B47" s="169"/>
      <c r="C47" s="13">
        <v>2360</v>
      </c>
      <c r="D47" s="14" t="s">
        <v>56</v>
      </c>
      <c r="E47" s="39">
        <v>21.7</v>
      </c>
      <c r="F47" s="40">
        <v>20</v>
      </c>
      <c r="G47" s="39">
        <v>20</v>
      </c>
      <c r="H47" s="39">
        <v>21.7</v>
      </c>
      <c r="I47" s="41">
        <f t="shared" si="11"/>
        <v>108.5</v>
      </c>
      <c r="J47" s="40">
        <v>20</v>
      </c>
      <c r="K47" s="40">
        <v>21.7</v>
      </c>
      <c r="L47" s="34">
        <f>K47/J47*100</f>
        <v>108.5</v>
      </c>
      <c r="M47" s="102">
        <v>21.7</v>
      </c>
      <c r="N47" s="147">
        <f t="shared" si="0"/>
        <v>8.683162223598795E-05</v>
      </c>
      <c r="O47" s="123">
        <v>50</v>
      </c>
      <c r="P47" s="152">
        <f t="shared" si="3"/>
        <v>230.41474654377882</v>
      </c>
      <c r="Q47" s="151">
        <f t="shared" si="1"/>
        <v>0.00021527002602373516</v>
      </c>
    </row>
    <row r="48" spans="1:17" s="11" customFormat="1" ht="12.75">
      <c r="A48" s="168"/>
      <c r="B48" s="157">
        <v>75095</v>
      </c>
      <c r="C48" s="9"/>
      <c r="D48" s="10" t="s">
        <v>19</v>
      </c>
      <c r="E48" s="38">
        <f aca="true" t="shared" si="13" ref="E48:O48">E50+E49</f>
        <v>500</v>
      </c>
      <c r="F48" s="38">
        <f t="shared" si="13"/>
        <v>0</v>
      </c>
      <c r="G48" s="38">
        <f t="shared" si="13"/>
        <v>17766.96</v>
      </c>
      <c r="H48" s="38">
        <f t="shared" si="13"/>
        <v>500</v>
      </c>
      <c r="I48" s="38">
        <f t="shared" si="13"/>
        <v>0</v>
      </c>
      <c r="J48" s="38">
        <f t="shared" si="13"/>
        <v>17766.96</v>
      </c>
      <c r="K48" s="38">
        <f t="shared" si="13"/>
        <v>500</v>
      </c>
      <c r="L48" s="38">
        <f t="shared" si="13"/>
        <v>50</v>
      </c>
      <c r="M48" s="105">
        <f>M50+M49</f>
        <v>17266.96</v>
      </c>
      <c r="N48" s="146">
        <f t="shared" si="0"/>
        <v>0.069093002206632</v>
      </c>
      <c r="O48" s="127">
        <f t="shared" si="13"/>
        <v>0</v>
      </c>
      <c r="P48" s="152">
        <f t="shared" si="3"/>
        <v>0</v>
      </c>
      <c r="Q48" s="138">
        <f t="shared" si="1"/>
        <v>0</v>
      </c>
    </row>
    <row r="49" spans="1:17" s="11" customFormat="1" ht="22.5">
      <c r="A49" s="168"/>
      <c r="B49" s="168"/>
      <c r="C49" s="13" t="s">
        <v>154</v>
      </c>
      <c r="D49" s="14" t="s">
        <v>127</v>
      </c>
      <c r="E49" s="39"/>
      <c r="F49" s="40"/>
      <c r="G49" s="39">
        <v>16766.96</v>
      </c>
      <c r="H49" s="39"/>
      <c r="I49" s="41"/>
      <c r="J49" s="40">
        <v>16766.96</v>
      </c>
      <c r="K49" s="40"/>
      <c r="L49" s="41"/>
      <c r="M49" s="102">
        <v>16766.96</v>
      </c>
      <c r="N49" s="147">
        <f t="shared" si="0"/>
        <v>0.06709227358368297</v>
      </c>
      <c r="O49" s="123"/>
      <c r="P49" s="152">
        <f t="shared" si="3"/>
        <v>0</v>
      </c>
      <c r="Q49" s="138">
        <f t="shared" si="1"/>
        <v>0</v>
      </c>
    </row>
    <row r="50" spans="1:17" ht="22.5">
      <c r="A50" s="167"/>
      <c r="B50" s="167"/>
      <c r="C50" s="13" t="s">
        <v>141</v>
      </c>
      <c r="D50" s="14" t="s">
        <v>27</v>
      </c>
      <c r="E50" s="39">
        <v>500</v>
      </c>
      <c r="F50" s="40"/>
      <c r="G50" s="39">
        <v>1000</v>
      </c>
      <c r="H50" s="39">
        <v>500</v>
      </c>
      <c r="I50" s="41"/>
      <c r="J50" s="40">
        <v>1000</v>
      </c>
      <c r="K50" s="40">
        <v>500</v>
      </c>
      <c r="L50" s="34">
        <f>K50/J50*100</f>
        <v>50</v>
      </c>
      <c r="M50" s="102">
        <v>500</v>
      </c>
      <c r="N50" s="147">
        <f t="shared" si="0"/>
        <v>0.002000728622949031</v>
      </c>
      <c r="O50" s="123">
        <v>0</v>
      </c>
      <c r="P50" s="152">
        <f t="shared" si="3"/>
        <v>0</v>
      </c>
      <c r="Q50" s="138">
        <f t="shared" si="1"/>
        <v>0</v>
      </c>
    </row>
    <row r="51" spans="1:17" s="11" customFormat="1" ht="36" customHeight="1">
      <c r="A51" s="170">
        <v>751</v>
      </c>
      <c r="B51" s="9"/>
      <c r="C51" s="9"/>
      <c r="D51" s="10" t="s">
        <v>213</v>
      </c>
      <c r="E51" s="33" t="e">
        <f>E52+#REF!+#REF!+#REF!</f>
        <v>#REF!</v>
      </c>
      <c r="F51" s="33" t="e">
        <f>F52+#REF!+#REF!+#REF!</f>
        <v>#REF!</v>
      </c>
      <c r="G51" s="33" t="e">
        <f>G52+#REF!+#REF!+#REF!</f>
        <v>#REF!</v>
      </c>
      <c r="H51" s="33" t="e">
        <f>H52+#REF!+#REF!+#REF!</f>
        <v>#REF!</v>
      </c>
      <c r="I51" s="41" t="e">
        <f>(H51/G51)*100</f>
        <v>#REF!</v>
      </c>
      <c r="J51" s="51" t="e">
        <f>J52+#REF!+#REF!+#REF!</f>
        <v>#REF!</v>
      </c>
      <c r="K51" s="51" t="e">
        <f>K52+#REF!+#REF!+#REF!</f>
        <v>#REF!</v>
      </c>
      <c r="L51" s="34" t="e">
        <f>K51/J51*100</f>
        <v>#REF!</v>
      </c>
      <c r="M51" s="100">
        <f>M52</f>
        <v>1350</v>
      </c>
      <c r="N51" s="146">
        <f t="shared" si="0"/>
        <v>0.005401967281962384</v>
      </c>
      <c r="O51" s="121">
        <f>O52</f>
        <v>1350</v>
      </c>
      <c r="P51" s="152">
        <f t="shared" si="3"/>
        <v>100</v>
      </c>
      <c r="Q51" s="138">
        <f t="shared" si="1"/>
        <v>0.0058122907026408495</v>
      </c>
    </row>
    <row r="52" spans="1:17" s="11" customFormat="1" ht="21">
      <c r="A52" s="170"/>
      <c r="B52" s="163">
        <v>75101</v>
      </c>
      <c r="C52" s="9"/>
      <c r="D52" s="10" t="s">
        <v>212</v>
      </c>
      <c r="E52" s="33">
        <f>E53</f>
        <v>1320</v>
      </c>
      <c r="F52" s="33">
        <f>F53</f>
        <v>1350</v>
      </c>
      <c r="G52" s="33">
        <f>G53</f>
        <v>1350</v>
      </c>
      <c r="H52" s="33">
        <f>H53</f>
        <v>1011</v>
      </c>
      <c r="I52" s="41">
        <f>(H52/G52)*100</f>
        <v>74.8888888888889</v>
      </c>
      <c r="J52" s="51">
        <f>J53</f>
        <v>1350</v>
      </c>
      <c r="K52" s="51">
        <f>K53</f>
        <v>1124</v>
      </c>
      <c r="L52" s="34">
        <f>K52/J52*100</f>
        <v>83.25925925925925</v>
      </c>
      <c r="M52" s="100">
        <f>M53</f>
        <v>1350</v>
      </c>
      <c r="N52" s="146">
        <f t="shared" si="0"/>
        <v>0.005401967281962384</v>
      </c>
      <c r="O52" s="121">
        <f>O53</f>
        <v>1350</v>
      </c>
      <c r="P52" s="152">
        <f t="shared" si="3"/>
        <v>100</v>
      </c>
      <c r="Q52" s="138">
        <f>O52/$O$249*100</f>
        <v>0.0058122907026408495</v>
      </c>
    </row>
    <row r="53" spans="1:17" ht="22.5">
      <c r="A53" s="170"/>
      <c r="B53" s="169"/>
      <c r="C53" s="13">
        <v>2010</v>
      </c>
      <c r="D53" s="14" t="s">
        <v>57</v>
      </c>
      <c r="E53" s="39">
        <v>1320</v>
      </c>
      <c r="F53" s="40">
        <v>1350</v>
      </c>
      <c r="G53" s="39">
        <v>1350</v>
      </c>
      <c r="H53" s="39">
        <v>1011</v>
      </c>
      <c r="I53" s="41">
        <f>(H53/G53)*100</f>
        <v>74.8888888888889</v>
      </c>
      <c r="J53" s="40">
        <v>1350</v>
      </c>
      <c r="K53" s="40">
        <v>1124</v>
      </c>
      <c r="L53" s="34">
        <f>K53/J53*100</f>
        <v>83.25925925925925</v>
      </c>
      <c r="M53" s="102">
        <v>1350</v>
      </c>
      <c r="N53" s="147">
        <f t="shared" si="0"/>
        <v>0.005401967281962384</v>
      </c>
      <c r="O53" s="123">
        <v>1350</v>
      </c>
      <c r="P53" s="152">
        <f t="shared" si="3"/>
        <v>100</v>
      </c>
      <c r="Q53" s="150">
        <f t="shared" si="1"/>
        <v>0.0058122907026408495</v>
      </c>
    </row>
    <row r="54" spans="1:17" s="11" customFormat="1" ht="21">
      <c r="A54" s="163">
        <v>754</v>
      </c>
      <c r="B54" s="9"/>
      <c r="C54" s="9"/>
      <c r="D54" s="10" t="s">
        <v>214</v>
      </c>
      <c r="E54" s="33" t="e">
        <f>#REF!+#REF!+E55</f>
        <v>#REF!</v>
      </c>
      <c r="F54" s="33" t="e">
        <f>#REF!+#REF!+F55</f>
        <v>#REF!</v>
      </c>
      <c r="G54" s="33" t="e">
        <f>#REF!+#REF!+G55</f>
        <v>#REF!</v>
      </c>
      <c r="H54" s="33" t="e">
        <f>#REF!+#REF!+H55</f>
        <v>#REF!</v>
      </c>
      <c r="I54" s="33" t="e">
        <f>#REF!+#REF!+I55</f>
        <v>#REF!</v>
      </c>
      <c r="J54" s="33" t="e">
        <f>#REF!+#REF!+J55</f>
        <v>#REF!</v>
      </c>
      <c r="K54" s="33" t="e">
        <f>#REF!+#REF!+K55</f>
        <v>#REF!</v>
      </c>
      <c r="L54" s="34" t="e">
        <f>K54/J54*100</f>
        <v>#REF!</v>
      </c>
      <c r="M54" s="100">
        <f>M55</f>
        <v>196660.25</v>
      </c>
      <c r="N54" s="147">
        <f t="shared" si="0"/>
        <v>0.7869275823426244</v>
      </c>
      <c r="O54" s="121">
        <f>O55</f>
        <v>485423.95</v>
      </c>
      <c r="P54" s="152">
        <f t="shared" si="3"/>
        <v>246.8337907635122</v>
      </c>
      <c r="Q54" s="138">
        <f t="shared" si="1"/>
        <v>2.089944526980886</v>
      </c>
    </row>
    <row r="55" spans="1:17" s="11" customFormat="1" ht="17.25" customHeight="1">
      <c r="A55" s="168"/>
      <c r="B55" s="31">
        <v>75495</v>
      </c>
      <c r="C55" s="9"/>
      <c r="D55" s="10" t="s">
        <v>19</v>
      </c>
      <c r="E55" s="38" t="e">
        <f>E56+#REF!</f>
        <v>#REF!</v>
      </c>
      <c r="F55" s="38" t="e">
        <f>F56+#REF!</f>
        <v>#REF!</v>
      </c>
      <c r="G55" s="38" t="e">
        <f>G56+#REF!</f>
        <v>#REF!</v>
      </c>
      <c r="H55" s="38" t="e">
        <f>H56+#REF!</f>
        <v>#REF!</v>
      </c>
      <c r="I55" s="41" t="e">
        <f>(H55/G55)*100</f>
        <v>#REF!</v>
      </c>
      <c r="J55" s="38" t="e">
        <f>J56+#REF!</f>
        <v>#REF!</v>
      </c>
      <c r="K55" s="38" t="e">
        <f>K56+#REF!</f>
        <v>#REF!</v>
      </c>
      <c r="L55" s="38" t="e">
        <f>L56+#REF!</f>
        <v>#REF!</v>
      </c>
      <c r="M55" s="105">
        <f>M56</f>
        <v>196660.25</v>
      </c>
      <c r="N55" s="147">
        <f t="shared" si="0"/>
        <v>0.7869275823426244</v>
      </c>
      <c r="O55" s="127">
        <f>O56</f>
        <v>485423.95</v>
      </c>
      <c r="P55" s="152">
        <f t="shared" si="3"/>
        <v>246.8337907635122</v>
      </c>
      <c r="Q55" s="138">
        <f>O55/$O$249*100</f>
        <v>2.089944526980886</v>
      </c>
    </row>
    <row r="56" spans="1:17" ht="33.75">
      <c r="A56" s="167"/>
      <c r="B56" s="23"/>
      <c r="C56" s="13" t="s">
        <v>159</v>
      </c>
      <c r="D56" s="14" t="s">
        <v>58</v>
      </c>
      <c r="E56" s="39"/>
      <c r="F56" s="40">
        <v>26660.25</v>
      </c>
      <c r="G56" s="39">
        <v>398753.7</v>
      </c>
      <c r="H56" s="39">
        <v>10977.75</v>
      </c>
      <c r="I56" s="41">
        <f>(H56/G56)*100</f>
        <v>2.7530152071316203</v>
      </c>
      <c r="J56" s="40">
        <v>398753.7</v>
      </c>
      <c r="K56" s="40">
        <v>10977.75</v>
      </c>
      <c r="L56" s="34">
        <f aca="true" t="shared" si="14" ref="L56:L94">K56/J56*100</f>
        <v>2.7530152071316203</v>
      </c>
      <c r="M56" s="102">
        <v>196660.25</v>
      </c>
      <c r="N56" s="147">
        <f t="shared" si="0"/>
        <v>0.7869275823426244</v>
      </c>
      <c r="O56" s="123">
        <v>485423.95</v>
      </c>
      <c r="P56" s="152">
        <f t="shared" si="3"/>
        <v>246.8337907635122</v>
      </c>
      <c r="Q56" s="150">
        <f t="shared" si="1"/>
        <v>2.089944526980886</v>
      </c>
    </row>
    <row r="57" spans="1:17" ht="12.75">
      <c r="A57" s="82"/>
      <c r="B57" s="23"/>
      <c r="C57" s="13"/>
      <c r="D57" s="14" t="s">
        <v>232</v>
      </c>
      <c r="E57" s="39"/>
      <c r="F57" s="40"/>
      <c r="G57" s="39"/>
      <c r="H57" s="39"/>
      <c r="I57" s="41"/>
      <c r="J57" s="40"/>
      <c r="K57" s="40"/>
      <c r="L57" s="34"/>
      <c r="M57" s="102"/>
      <c r="N57" s="147">
        <f t="shared" si="0"/>
        <v>0</v>
      </c>
      <c r="O57" s="123"/>
      <c r="P57" s="152"/>
      <c r="Q57" s="138">
        <f t="shared" si="1"/>
        <v>0</v>
      </c>
    </row>
    <row r="58" spans="1:17" s="11" customFormat="1" ht="32.25" customHeight="1">
      <c r="A58" s="170">
        <v>756</v>
      </c>
      <c r="B58" s="9"/>
      <c r="C58" s="9"/>
      <c r="D58" s="10" t="s">
        <v>59</v>
      </c>
      <c r="E58" s="33">
        <f>E59+E62+E72+E86+E92</f>
        <v>5268218.999999999</v>
      </c>
      <c r="F58" s="33">
        <f>F59+F62+F72+F86+F92</f>
        <v>7149328</v>
      </c>
      <c r="G58" s="33">
        <f>G59+G62+G72+G86+G92</f>
        <v>6707268</v>
      </c>
      <c r="H58" s="33">
        <f>H59+H62+H72+H86+H92</f>
        <v>4376074.140000001</v>
      </c>
      <c r="I58" s="41">
        <f>(H58/G58)*100</f>
        <v>65.2437645252881</v>
      </c>
      <c r="J58" s="51">
        <f>J59+J62+J72+J86+J92</f>
        <v>6707268</v>
      </c>
      <c r="K58" s="51">
        <f>K59+K62+K72+K86+K92</f>
        <v>4836593.5</v>
      </c>
      <c r="L58" s="34">
        <f t="shared" si="14"/>
        <v>72.10973976289601</v>
      </c>
      <c r="M58" s="100">
        <f>M59+M62+M72+M86+M92</f>
        <v>6175893.53</v>
      </c>
      <c r="N58" s="146">
        <f t="shared" si="0"/>
        <v>24.712573915513463</v>
      </c>
      <c r="O58" s="121">
        <f>O59+O62+O72+O86+O92</f>
        <v>6353500</v>
      </c>
      <c r="P58" s="152">
        <f t="shared" si="3"/>
        <v>102.87580200560873</v>
      </c>
      <c r="Q58" s="138">
        <f t="shared" si="1"/>
        <v>27.354362206836026</v>
      </c>
    </row>
    <row r="59" spans="1:17" s="11" customFormat="1" ht="12.75">
      <c r="A59" s="170"/>
      <c r="B59" s="163">
        <v>75601</v>
      </c>
      <c r="C59" s="9"/>
      <c r="D59" s="10" t="s">
        <v>60</v>
      </c>
      <c r="E59" s="33">
        <f aca="true" t="shared" si="15" ref="E59:K59">E60+E61</f>
        <v>5943.92</v>
      </c>
      <c r="F59" s="33">
        <f t="shared" si="15"/>
        <v>4710</v>
      </c>
      <c r="G59" s="33">
        <f t="shared" si="15"/>
        <v>4710</v>
      </c>
      <c r="H59" s="33">
        <f t="shared" si="15"/>
        <v>3683.42</v>
      </c>
      <c r="I59" s="33">
        <f t="shared" si="15"/>
        <v>93.63808510638297</v>
      </c>
      <c r="J59" s="51">
        <f t="shared" si="15"/>
        <v>4710</v>
      </c>
      <c r="K59" s="51">
        <f t="shared" si="15"/>
        <v>3683.42</v>
      </c>
      <c r="L59" s="34">
        <f t="shared" si="14"/>
        <v>78.20424628450107</v>
      </c>
      <c r="M59" s="100">
        <f>M60+M61</f>
        <v>4401.53</v>
      </c>
      <c r="N59" s="146">
        <f t="shared" si="0"/>
        <v>0.0176125341115377</v>
      </c>
      <c r="O59" s="121">
        <f>O60+O61</f>
        <v>4710</v>
      </c>
      <c r="P59" s="152">
        <f t="shared" si="3"/>
        <v>107.00824486030996</v>
      </c>
      <c r="Q59" s="138">
        <f t="shared" si="1"/>
        <v>0.02027843645143585</v>
      </c>
    </row>
    <row r="60" spans="1:17" ht="12.75">
      <c r="A60" s="170"/>
      <c r="B60" s="166"/>
      <c r="C60" s="13" t="s">
        <v>61</v>
      </c>
      <c r="D60" s="14" t="s">
        <v>62</v>
      </c>
      <c r="E60" s="39">
        <v>5936.36</v>
      </c>
      <c r="F60" s="40">
        <v>4700</v>
      </c>
      <c r="G60" s="39">
        <v>4700</v>
      </c>
      <c r="H60" s="39">
        <v>3681.89</v>
      </c>
      <c r="I60" s="41">
        <f aca="true" t="shared" si="16" ref="I60:I66">(H60/G60)*100</f>
        <v>78.33808510638298</v>
      </c>
      <c r="J60" s="40">
        <v>4700</v>
      </c>
      <c r="K60" s="40">
        <v>3681.89</v>
      </c>
      <c r="L60" s="34">
        <f t="shared" si="14"/>
        <v>78.33808510638298</v>
      </c>
      <c r="M60" s="102">
        <v>4400</v>
      </c>
      <c r="N60" s="147">
        <f t="shared" si="0"/>
        <v>0.017606411881951476</v>
      </c>
      <c r="O60" s="123">
        <v>4700</v>
      </c>
      <c r="P60" s="152">
        <f t="shared" si="3"/>
        <v>106.81818181818181</v>
      </c>
      <c r="Q60" s="151">
        <f t="shared" si="1"/>
        <v>0.020235382446231104</v>
      </c>
    </row>
    <row r="61" spans="1:17" ht="22.5">
      <c r="A61" s="170"/>
      <c r="B61" s="167"/>
      <c r="C61" s="13" t="s">
        <v>63</v>
      </c>
      <c r="D61" s="14" t="s">
        <v>80</v>
      </c>
      <c r="E61" s="39">
        <v>7.56</v>
      </c>
      <c r="F61" s="40">
        <v>10</v>
      </c>
      <c r="G61" s="39">
        <v>10</v>
      </c>
      <c r="H61" s="39">
        <v>1.53</v>
      </c>
      <c r="I61" s="41">
        <f t="shared" si="16"/>
        <v>15.299999999999999</v>
      </c>
      <c r="J61" s="40">
        <v>10</v>
      </c>
      <c r="K61" s="40">
        <v>1.53</v>
      </c>
      <c r="L61" s="34">
        <f t="shared" si="14"/>
        <v>15.299999999999999</v>
      </c>
      <c r="M61" s="102">
        <v>1.53</v>
      </c>
      <c r="N61" s="147">
        <f t="shared" si="0"/>
        <v>6.122229586224035E-06</v>
      </c>
      <c r="O61" s="123">
        <v>10</v>
      </c>
      <c r="P61" s="152">
        <f t="shared" si="3"/>
        <v>653.59477124183</v>
      </c>
      <c r="Q61" s="151">
        <f t="shared" si="1"/>
        <v>4.305400520474703E-05</v>
      </c>
    </row>
    <row r="62" spans="1:17" s="11" customFormat="1" ht="52.5">
      <c r="A62" s="170"/>
      <c r="B62" s="163">
        <v>75615</v>
      </c>
      <c r="C62" s="9"/>
      <c r="D62" s="29" t="s">
        <v>215</v>
      </c>
      <c r="E62" s="33">
        <f>E63+E64+E65+E66+E68+E69+E70+E67+E71</f>
        <v>1101434.76</v>
      </c>
      <c r="F62" s="33">
        <f>F63+F64+F65+F66+F68+F69+F70+F67+F71</f>
        <v>1235950</v>
      </c>
      <c r="G62" s="33">
        <f>G63+G64+G65+G66+G68+G69+G70+G67+G71</f>
        <v>1205950</v>
      </c>
      <c r="H62" s="33">
        <f>H63+H64+H65+H66+H68+H69+H70+H67+H71</f>
        <v>620018.84</v>
      </c>
      <c r="I62" s="41">
        <f t="shared" si="16"/>
        <v>51.413312326381686</v>
      </c>
      <c r="J62" s="51">
        <f>J63+J64+J65+J66+J67+J68+J69+J70++J71</f>
        <v>1205950</v>
      </c>
      <c r="K62" s="51">
        <f>K63+K64+K65+K66+K67+K68+K69+K70++K71</f>
        <v>677247.16</v>
      </c>
      <c r="L62" s="34">
        <f t="shared" si="14"/>
        <v>56.15880923753058</v>
      </c>
      <c r="M62" s="100">
        <f>M63+M64+M65+M66+M68+M69+M70+M67+M71</f>
        <v>860851</v>
      </c>
      <c r="N62" s="146">
        <f t="shared" si="0"/>
        <v>3.444658471588593</v>
      </c>
      <c r="O62" s="121">
        <f>O63+O64+O65+O66+O68+O69+O70+O67+O71</f>
        <v>1106934</v>
      </c>
      <c r="P62" s="152">
        <f t="shared" si="3"/>
        <v>128.5860154660911</v>
      </c>
      <c r="Q62" s="138">
        <f t="shared" si="1"/>
        <v>4.765794219731145</v>
      </c>
    </row>
    <row r="63" spans="1:17" ht="12.75">
      <c r="A63" s="170"/>
      <c r="B63" s="165"/>
      <c r="C63" s="13" t="s">
        <v>64</v>
      </c>
      <c r="D63" s="14" t="s">
        <v>65</v>
      </c>
      <c r="E63" s="39">
        <v>908082.04</v>
      </c>
      <c r="F63" s="40">
        <v>980000</v>
      </c>
      <c r="G63" s="39">
        <v>950000</v>
      </c>
      <c r="H63" s="39">
        <v>477523.84</v>
      </c>
      <c r="I63" s="41">
        <f t="shared" si="16"/>
        <v>50.26566736842105</v>
      </c>
      <c r="J63" s="40">
        <v>950000</v>
      </c>
      <c r="K63" s="40">
        <v>526150.91</v>
      </c>
      <c r="L63" s="34">
        <f t="shared" si="14"/>
        <v>55.38430631578948</v>
      </c>
      <c r="M63" s="102">
        <v>680000</v>
      </c>
      <c r="N63" s="147">
        <f t="shared" si="0"/>
        <v>2.7209909272106825</v>
      </c>
      <c r="O63" s="123">
        <v>900000</v>
      </c>
      <c r="P63" s="152">
        <f t="shared" si="3"/>
        <v>132.35294117647058</v>
      </c>
      <c r="Q63" s="151">
        <f t="shared" si="1"/>
        <v>3.8748604684272325</v>
      </c>
    </row>
    <row r="64" spans="1:17" ht="12.75">
      <c r="A64" s="170"/>
      <c r="B64" s="165"/>
      <c r="C64" s="13" t="s">
        <v>66</v>
      </c>
      <c r="D64" s="14" t="s">
        <v>67</v>
      </c>
      <c r="E64" s="39">
        <v>62362</v>
      </c>
      <c r="F64" s="40">
        <v>98500</v>
      </c>
      <c r="G64" s="39">
        <v>98500</v>
      </c>
      <c r="H64" s="39">
        <v>60376.8</v>
      </c>
      <c r="I64" s="41">
        <f t="shared" si="16"/>
        <v>61.296243654822334</v>
      </c>
      <c r="J64" s="40">
        <v>98500</v>
      </c>
      <c r="K64" s="40">
        <v>60427.05</v>
      </c>
      <c r="L64" s="34">
        <f t="shared" si="14"/>
        <v>61.347258883248735</v>
      </c>
      <c r="M64" s="102">
        <v>72000</v>
      </c>
      <c r="N64" s="147">
        <f t="shared" si="0"/>
        <v>0.28810492170466045</v>
      </c>
      <c r="O64" s="123">
        <v>96000</v>
      </c>
      <c r="P64" s="152">
        <f t="shared" si="3"/>
        <v>133.33333333333331</v>
      </c>
      <c r="Q64" s="151">
        <f t="shared" si="1"/>
        <v>0.4133184499655715</v>
      </c>
    </row>
    <row r="65" spans="1:17" ht="12.75">
      <c r="A65" s="170"/>
      <c r="B65" s="165"/>
      <c r="C65" s="13" t="s">
        <v>68</v>
      </c>
      <c r="D65" s="14" t="s">
        <v>69</v>
      </c>
      <c r="E65" s="39">
        <v>73226</v>
      </c>
      <c r="F65" s="40">
        <v>86000</v>
      </c>
      <c r="G65" s="39">
        <v>86000</v>
      </c>
      <c r="H65" s="39">
        <v>66749</v>
      </c>
      <c r="I65" s="41">
        <f t="shared" si="16"/>
        <v>77.61511627906977</v>
      </c>
      <c r="J65" s="40">
        <v>86000</v>
      </c>
      <c r="K65" s="40">
        <v>74236</v>
      </c>
      <c r="L65" s="34">
        <f t="shared" si="14"/>
        <v>86.32093023255814</v>
      </c>
      <c r="M65" s="102">
        <v>89000</v>
      </c>
      <c r="N65" s="147">
        <f t="shared" si="0"/>
        <v>0.3561296948849275</v>
      </c>
      <c r="O65" s="123">
        <v>88000</v>
      </c>
      <c r="P65" s="152">
        <f t="shared" si="3"/>
        <v>98.87640449438202</v>
      </c>
      <c r="Q65" s="151">
        <f t="shared" si="1"/>
        <v>0.37887524580177384</v>
      </c>
    </row>
    <row r="66" spans="1:17" ht="12.75">
      <c r="A66" s="170"/>
      <c r="B66" s="165"/>
      <c r="C66" s="13" t="s">
        <v>70</v>
      </c>
      <c r="D66" s="14" t="s">
        <v>199</v>
      </c>
      <c r="E66" s="39">
        <v>6629</v>
      </c>
      <c r="F66" s="40">
        <v>9000</v>
      </c>
      <c r="G66" s="39">
        <v>9000</v>
      </c>
      <c r="H66" s="39">
        <v>5878</v>
      </c>
      <c r="I66" s="41">
        <f t="shared" si="16"/>
        <v>65.3111111111111</v>
      </c>
      <c r="J66" s="40">
        <v>9000</v>
      </c>
      <c r="K66" s="40">
        <v>6793</v>
      </c>
      <c r="L66" s="34">
        <f t="shared" si="14"/>
        <v>75.47777777777777</v>
      </c>
      <c r="M66" s="102">
        <v>8500</v>
      </c>
      <c r="N66" s="147">
        <f t="shared" si="0"/>
        <v>0.03401238659013353</v>
      </c>
      <c r="O66" s="123">
        <v>10000</v>
      </c>
      <c r="P66" s="152">
        <f t="shared" si="3"/>
        <v>117.64705882352942</v>
      </c>
      <c r="Q66" s="151">
        <f t="shared" si="1"/>
        <v>0.04305400520474703</v>
      </c>
    </row>
    <row r="67" spans="1:17" ht="33.75">
      <c r="A67" s="170"/>
      <c r="B67" s="165"/>
      <c r="C67" s="13" t="s">
        <v>9</v>
      </c>
      <c r="D67" s="14" t="s">
        <v>161</v>
      </c>
      <c r="E67" s="39"/>
      <c r="F67" s="40"/>
      <c r="G67" s="39"/>
      <c r="H67" s="39">
        <v>99</v>
      </c>
      <c r="I67" s="41"/>
      <c r="J67" s="40"/>
      <c r="K67" s="40">
        <v>239</v>
      </c>
      <c r="L67" s="34" t="e">
        <f t="shared" si="14"/>
        <v>#DIV/0!</v>
      </c>
      <c r="M67" s="102">
        <v>500</v>
      </c>
      <c r="N67" s="147">
        <f t="shared" si="0"/>
        <v>0.002000728622949031</v>
      </c>
      <c r="O67" s="123">
        <v>500</v>
      </c>
      <c r="P67" s="152">
        <f t="shared" si="3"/>
        <v>100</v>
      </c>
      <c r="Q67" s="151">
        <f t="shared" si="1"/>
        <v>0.0021527002602373516</v>
      </c>
    </row>
    <row r="68" spans="1:17" ht="16.5" customHeight="1">
      <c r="A68" s="170"/>
      <c r="B68" s="165"/>
      <c r="C68" s="13" t="s">
        <v>75</v>
      </c>
      <c r="D68" s="14" t="s">
        <v>76</v>
      </c>
      <c r="E68" s="39">
        <v>1162</v>
      </c>
      <c r="F68" s="40">
        <v>800</v>
      </c>
      <c r="G68" s="39">
        <v>800</v>
      </c>
      <c r="H68" s="39">
        <v>730</v>
      </c>
      <c r="I68" s="41">
        <f aca="true" t="shared" si="17" ref="I68:I97">(H68/G68)*100</f>
        <v>91.25</v>
      </c>
      <c r="J68" s="40">
        <v>800</v>
      </c>
      <c r="K68" s="40">
        <v>730</v>
      </c>
      <c r="L68" s="34">
        <f t="shared" si="14"/>
        <v>91.25</v>
      </c>
      <c r="M68" s="102">
        <v>730</v>
      </c>
      <c r="N68" s="147">
        <f t="shared" si="0"/>
        <v>0.0029210637895055857</v>
      </c>
      <c r="O68" s="123">
        <v>850</v>
      </c>
      <c r="P68" s="152">
        <f t="shared" si="3"/>
        <v>116.43835616438356</v>
      </c>
      <c r="Q68" s="151">
        <f t="shared" si="1"/>
        <v>0.003659590442403498</v>
      </c>
    </row>
    <row r="69" spans="1:17" ht="12.75">
      <c r="A69" s="170"/>
      <c r="B69" s="165"/>
      <c r="C69" s="13" t="s">
        <v>10</v>
      </c>
      <c r="D69" s="14" t="s">
        <v>79</v>
      </c>
      <c r="E69" s="39">
        <v>140.8</v>
      </c>
      <c r="F69" s="40">
        <v>150</v>
      </c>
      <c r="G69" s="39">
        <v>150</v>
      </c>
      <c r="H69" s="39">
        <v>35.2</v>
      </c>
      <c r="I69" s="41">
        <f t="shared" si="17"/>
        <v>23.46666666666667</v>
      </c>
      <c r="J69" s="40">
        <v>150</v>
      </c>
      <c r="K69" s="40">
        <v>35.2</v>
      </c>
      <c r="L69" s="34">
        <f t="shared" si="14"/>
        <v>23.46666666666667</v>
      </c>
      <c r="M69" s="102">
        <v>50</v>
      </c>
      <c r="N69" s="147">
        <f aca="true" t="shared" si="18" ref="N69:N132">M69/$M$249*100</f>
        <v>0.0002000728622949031</v>
      </c>
      <c r="O69" s="123">
        <v>50</v>
      </c>
      <c r="P69" s="152">
        <f t="shared" si="3"/>
        <v>100</v>
      </c>
      <c r="Q69" s="151">
        <f aca="true" t="shared" si="19" ref="Q69:Q74">O69/$O$249*100</f>
        <v>0.00021527002602373516</v>
      </c>
    </row>
    <row r="70" spans="1:17" ht="22.5">
      <c r="A70" s="170"/>
      <c r="B70" s="165"/>
      <c r="C70" s="13" t="s">
        <v>63</v>
      </c>
      <c r="D70" s="14" t="s">
        <v>200</v>
      </c>
      <c r="E70" s="39">
        <v>48400.92</v>
      </c>
      <c r="F70" s="40">
        <v>60000</v>
      </c>
      <c r="G70" s="39">
        <v>60000</v>
      </c>
      <c r="H70" s="39">
        <v>7156</v>
      </c>
      <c r="I70" s="41">
        <f t="shared" si="17"/>
        <v>11.926666666666668</v>
      </c>
      <c r="J70" s="40">
        <v>60000</v>
      </c>
      <c r="K70" s="40">
        <v>7165</v>
      </c>
      <c r="L70" s="34">
        <f t="shared" si="14"/>
        <v>11.941666666666666</v>
      </c>
      <c r="M70" s="102">
        <v>8600</v>
      </c>
      <c r="N70" s="147">
        <f t="shared" si="18"/>
        <v>0.03441253231472333</v>
      </c>
      <c r="O70" s="123">
        <v>10000</v>
      </c>
      <c r="P70" s="152">
        <f t="shared" si="3"/>
        <v>116.27906976744187</v>
      </c>
      <c r="Q70" s="151">
        <f t="shared" si="19"/>
        <v>0.04305400520474703</v>
      </c>
    </row>
    <row r="71" spans="1:17" ht="22.5">
      <c r="A71" s="170"/>
      <c r="B71" s="167"/>
      <c r="C71" s="13" t="s">
        <v>160</v>
      </c>
      <c r="D71" s="14" t="s">
        <v>162</v>
      </c>
      <c r="E71" s="39">
        <v>1432</v>
      </c>
      <c r="F71" s="40">
        <v>1500</v>
      </c>
      <c r="G71" s="39">
        <v>1500</v>
      </c>
      <c r="H71" s="39">
        <v>1471</v>
      </c>
      <c r="I71" s="41">
        <f t="shared" si="17"/>
        <v>98.06666666666666</v>
      </c>
      <c r="J71" s="40">
        <v>1500</v>
      </c>
      <c r="K71" s="40">
        <v>1471</v>
      </c>
      <c r="L71" s="34">
        <f t="shared" si="14"/>
        <v>98.06666666666666</v>
      </c>
      <c r="M71" s="102">
        <v>1471</v>
      </c>
      <c r="N71" s="147">
        <f t="shared" si="18"/>
        <v>0.00588614360871605</v>
      </c>
      <c r="O71" s="123">
        <v>1534</v>
      </c>
      <c r="P71" s="152">
        <f aca="true" t="shared" si="20" ref="P71:P135">(O71/M71)*100</f>
        <v>104.2828008157716</v>
      </c>
      <c r="Q71" s="151">
        <f t="shared" si="19"/>
        <v>0.006604484398408194</v>
      </c>
    </row>
    <row r="72" spans="1:17" s="11" customFormat="1" ht="42">
      <c r="A72" s="170"/>
      <c r="B72" s="163">
        <v>75616</v>
      </c>
      <c r="C72" s="9"/>
      <c r="D72" s="29" t="s">
        <v>211</v>
      </c>
      <c r="E72" s="33">
        <f>E73+E74+E75+E76+E77+E78+E79+E81+E82+E83+E84+E85+E80</f>
        <v>2008184.5999999996</v>
      </c>
      <c r="F72" s="33">
        <f>F73+F74+F75+F76+F77+F78+F79+F81+F82+F83+F84+F85+F80</f>
        <v>2965550</v>
      </c>
      <c r="G72" s="33">
        <f>G73+G74+G75+G76+G77+G78+G79+G81+G82+G83+G84+G85+G80</f>
        <v>2748050</v>
      </c>
      <c r="H72" s="33">
        <f>H73+H74+H75+H76+H77+H78+H79+H81+H82+H83+H84+H85+H80</f>
        <v>1863660.43</v>
      </c>
      <c r="I72" s="41">
        <f t="shared" si="17"/>
        <v>67.81755899637925</v>
      </c>
      <c r="J72" s="51">
        <f>J73+J74+J75+J76+J77+J78+J79+J80+J81+J82+J83+J84+J85</f>
        <v>2748050</v>
      </c>
      <c r="K72" s="51">
        <f>K73+K74+K75+K76+K77+K78+K79+K80+K81+K82+K83+K84+K85</f>
        <v>2031816.1799999997</v>
      </c>
      <c r="L72" s="34">
        <f t="shared" si="14"/>
        <v>73.9366525354342</v>
      </c>
      <c r="M72" s="100">
        <f>M73+M74+M75+M76+M77+M78+M79+M81+M83+M84+M85+M86+M80</f>
        <v>2618085</v>
      </c>
      <c r="N72" s="146">
        <f t="shared" si="18"/>
        <v>10.476155193627028</v>
      </c>
      <c r="O72" s="121">
        <f>O73+O74+O75+O76+O77+O78+O79+O81+O82+O83+O84+O80+O85</f>
        <v>2759420</v>
      </c>
      <c r="P72" s="152">
        <f t="shared" si="20"/>
        <v>105.39841143431173</v>
      </c>
      <c r="Q72" s="138">
        <f t="shared" si="19"/>
        <v>11.880408304208306</v>
      </c>
    </row>
    <row r="73" spans="1:17" ht="16.5" customHeight="1">
      <c r="A73" s="170"/>
      <c r="B73" s="166"/>
      <c r="C73" s="13" t="s">
        <v>64</v>
      </c>
      <c r="D73" s="14" t="s">
        <v>65</v>
      </c>
      <c r="E73" s="39">
        <v>574866.85</v>
      </c>
      <c r="F73" s="40">
        <v>870000</v>
      </c>
      <c r="G73" s="39">
        <v>810000</v>
      </c>
      <c r="H73" s="39">
        <v>552871.12</v>
      </c>
      <c r="I73" s="41">
        <f t="shared" si="17"/>
        <v>68.25569382716048</v>
      </c>
      <c r="J73" s="40">
        <v>810000</v>
      </c>
      <c r="K73" s="40">
        <v>563303.78</v>
      </c>
      <c r="L73" s="34">
        <f t="shared" si="14"/>
        <v>69.54367654320987</v>
      </c>
      <c r="M73" s="102">
        <v>675000</v>
      </c>
      <c r="N73" s="147">
        <f t="shared" si="18"/>
        <v>2.700983640981192</v>
      </c>
      <c r="O73" s="123">
        <v>660000</v>
      </c>
      <c r="P73" s="152">
        <f t="shared" si="20"/>
        <v>97.77777777777777</v>
      </c>
      <c r="Q73" s="151">
        <f t="shared" si="19"/>
        <v>2.841564343513304</v>
      </c>
    </row>
    <row r="74" spans="1:17" ht="12.75">
      <c r="A74" s="170"/>
      <c r="B74" s="166"/>
      <c r="C74" s="13" t="s">
        <v>66</v>
      </c>
      <c r="D74" s="14" t="s">
        <v>67</v>
      </c>
      <c r="E74" s="39">
        <v>1029775.37</v>
      </c>
      <c r="F74" s="40">
        <v>1590000</v>
      </c>
      <c r="G74" s="39">
        <v>1590000</v>
      </c>
      <c r="H74" s="39">
        <v>1085471.94</v>
      </c>
      <c r="I74" s="41">
        <f t="shared" si="17"/>
        <v>68.26867547169812</v>
      </c>
      <c r="J74" s="40">
        <v>1590000</v>
      </c>
      <c r="K74" s="40">
        <v>1206634.46</v>
      </c>
      <c r="L74" s="34">
        <f t="shared" si="14"/>
        <v>75.88895974842768</v>
      </c>
      <c r="M74" s="102">
        <v>1450000</v>
      </c>
      <c r="N74" s="147">
        <f t="shared" si="18"/>
        <v>5.80211300655219</v>
      </c>
      <c r="O74" s="123">
        <v>1800000</v>
      </c>
      <c r="P74" s="152">
        <f t="shared" si="20"/>
        <v>124.13793103448276</v>
      </c>
      <c r="Q74" s="151">
        <f t="shared" si="19"/>
        <v>7.749720936854465</v>
      </c>
    </row>
    <row r="75" spans="1:17" ht="12.75">
      <c r="A75" s="170"/>
      <c r="B75" s="166"/>
      <c r="C75" s="13" t="s">
        <v>68</v>
      </c>
      <c r="D75" s="14" t="s">
        <v>69</v>
      </c>
      <c r="E75" s="39">
        <v>10805.88</v>
      </c>
      <c r="F75" s="40">
        <v>12000</v>
      </c>
      <c r="G75" s="39">
        <v>12000</v>
      </c>
      <c r="H75" s="39">
        <v>9282.29</v>
      </c>
      <c r="I75" s="41">
        <f t="shared" si="17"/>
        <v>77.35241666666668</v>
      </c>
      <c r="J75" s="40">
        <v>12000</v>
      </c>
      <c r="K75" s="40">
        <v>9282.29</v>
      </c>
      <c r="L75" s="34">
        <f t="shared" si="14"/>
        <v>77.35241666666668</v>
      </c>
      <c r="M75" s="102">
        <v>11400</v>
      </c>
      <c r="N75" s="147">
        <f t="shared" si="18"/>
        <v>0.04561661260323791</v>
      </c>
      <c r="O75" s="123">
        <v>11000</v>
      </c>
      <c r="P75" s="152">
        <f t="shared" si="20"/>
        <v>96.49122807017544</v>
      </c>
      <c r="Q75" s="151">
        <f aca="true" t="shared" si="21" ref="Q75:Q101">O75/$O$249*100</f>
        <v>0.04735940572522173</v>
      </c>
    </row>
    <row r="76" spans="1:17" ht="12.75">
      <c r="A76" s="170"/>
      <c r="B76" s="166"/>
      <c r="C76" s="13" t="s">
        <v>70</v>
      </c>
      <c r="D76" s="14" t="s">
        <v>71</v>
      </c>
      <c r="E76" s="39">
        <v>49044.27</v>
      </c>
      <c r="F76" s="40">
        <v>256500</v>
      </c>
      <c r="G76" s="39">
        <v>96500</v>
      </c>
      <c r="H76" s="39">
        <v>58709.46</v>
      </c>
      <c r="I76" s="41">
        <f t="shared" si="17"/>
        <v>60.83881865284974</v>
      </c>
      <c r="J76" s="40">
        <v>96500</v>
      </c>
      <c r="K76" s="40">
        <v>67664.46</v>
      </c>
      <c r="L76" s="34">
        <f t="shared" si="14"/>
        <v>70.11861139896374</v>
      </c>
      <c r="M76" s="102">
        <v>82000</v>
      </c>
      <c r="N76" s="147">
        <f t="shared" si="18"/>
        <v>0.3281194941636411</v>
      </c>
      <c r="O76" s="123">
        <v>85000</v>
      </c>
      <c r="P76" s="152">
        <f t="shared" si="20"/>
        <v>103.65853658536585</v>
      </c>
      <c r="Q76" s="151">
        <f t="shared" si="21"/>
        <v>0.36595904424034975</v>
      </c>
    </row>
    <row r="77" spans="1:17" ht="12.75">
      <c r="A77" s="170"/>
      <c r="B77" s="166"/>
      <c r="C77" s="13" t="s">
        <v>81</v>
      </c>
      <c r="D77" s="14" t="s">
        <v>82</v>
      </c>
      <c r="E77" s="39">
        <v>141536.87</v>
      </c>
      <c r="F77" s="40">
        <v>12000</v>
      </c>
      <c r="G77" s="39">
        <v>12000</v>
      </c>
      <c r="H77" s="39">
        <v>15375</v>
      </c>
      <c r="I77" s="41">
        <f t="shared" si="17"/>
        <v>128.125</v>
      </c>
      <c r="J77" s="40">
        <v>12000</v>
      </c>
      <c r="K77" s="40">
        <v>15375</v>
      </c>
      <c r="L77" s="34">
        <f t="shared" si="14"/>
        <v>128.125</v>
      </c>
      <c r="M77" s="102">
        <v>20500</v>
      </c>
      <c r="N77" s="147">
        <f t="shared" si="18"/>
        <v>0.08202987354091028</v>
      </c>
      <c r="O77" s="123">
        <v>16000</v>
      </c>
      <c r="P77" s="152">
        <f t="shared" si="20"/>
        <v>78.04878048780488</v>
      </c>
      <c r="Q77" s="151">
        <f t="shared" si="21"/>
        <v>0.06888640832759525</v>
      </c>
    </row>
    <row r="78" spans="1:17" ht="12.75">
      <c r="A78" s="170"/>
      <c r="B78" s="166"/>
      <c r="C78" s="13" t="s">
        <v>83</v>
      </c>
      <c r="D78" s="14" t="s">
        <v>84</v>
      </c>
      <c r="E78" s="39">
        <v>4818.8</v>
      </c>
      <c r="F78" s="40">
        <v>6000</v>
      </c>
      <c r="G78" s="39">
        <v>6000</v>
      </c>
      <c r="H78" s="39">
        <v>4890.9</v>
      </c>
      <c r="I78" s="41">
        <f t="shared" si="17"/>
        <v>81.51499999999999</v>
      </c>
      <c r="J78" s="40">
        <v>6000</v>
      </c>
      <c r="K78" s="40">
        <v>4920.9</v>
      </c>
      <c r="L78" s="34">
        <f t="shared" si="14"/>
        <v>82.01499999999999</v>
      </c>
      <c r="M78" s="102">
        <v>6000</v>
      </c>
      <c r="N78" s="147">
        <f t="shared" si="18"/>
        <v>0.024008743475388374</v>
      </c>
      <c r="O78" s="123">
        <v>4920</v>
      </c>
      <c r="P78" s="152">
        <f t="shared" si="20"/>
        <v>82</v>
      </c>
      <c r="Q78" s="151">
        <f t="shared" si="21"/>
        <v>0.02118257056073554</v>
      </c>
    </row>
    <row r="79" spans="1:17" ht="12.75">
      <c r="A79" s="170"/>
      <c r="B79" s="166"/>
      <c r="C79" s="13" t="s">
        <v>85</v>
      </c>
      <c r="D79" s="14" t="s">
        <v>86</v>
      </c>
      <c r="E79" s="39">
        <v>10544</v>
      </c>
      <c r="F79" s="40">
        <v>16000</v>
      </c>
      <c r="G79" s="39">
        <v>16000</v>
      </c>
      <c r="H79" s="39">
        <v>6207</v>
      </c>
      <c r="I79" s="41">
        <f t="shared" si="17"/>
        <v>38.793749999999996</v>
      </c>
      <c r="J79" s="40">
        <v>16000</v>
      </c>
      <c r="K79" s="40">
        <v>7258</v>
      </c>
      <c r="L79" s="34">
        <f t="shared" si="14"/>
        <v>45.3625</v>
      </c>
      <c r="M79" s="102">
        <v>7800</v>
      </c>
      <c r="N79" s="147">
        <f t="shared" si="18"/>
        <v>0.031211366518004883</v>
      </c>
      <c r="O79" s="123">
        <v>8500</v>
      </c>
      <c r="P79" s="152">
        <f t="shared" si="20"/>
        <v>108.97435897435896</v>
      </c>
      <c r="Q79" s="151">
        <f t="shared" si="21"/>
        <v>0.03659590442403497</v>
      </c>
    </row>
    <row r="80" spans="1:17" ht="12.75">
      <c r="A80" s="170"/>
      <c r="B80" s="166"/>
      <c r="C80" s="13" t="s">
        <v>72</v>
      </c>
      <c r="D80" s="14" t="s">
        <v>73</v>
      </c>
      <c r="E80" s="39">
        <v>26710.06</v>
      </c>
      <c r="F80" s="40">
        <v>30000</v>
      </c>
      <c r="G80" s="39">
        <v>30000</v>
      </c>
      <c r="H80" s="39">
        <v>8751.48</v>
      </c>
      <c r="I80" s="41">
        <f t="shared" si="17"/>
        <v>29.171599999999998</v>
      </c>
      <c r="J80" s="40">
        <v>30000</v>
      </c>
      <c r="K80" s="40">
        <v>8751.48</v>
      </c>
      <c r="L80" s="34">
        <f t="shared" si="14"/>
        <v>29.171599999999998</v>
      </c>
      <c r="M80" s="102">
        <v>9500</v>
      </c>
      <c r="N80" s="147">
        <f t="shared" si="18"/>
        <v>0.03801384383603159</v>
      </c>
      <c r="O80" s="123">
        <v>9500</v>
      </c>
      <c r="P80" s="152">
        <f t="shared" si="20"/>
        <v>100</v>
      </c>
      <c r="Q80" s="151">
        <f t="shared" si="21"/>
        <v>0.04090130494450968</v>
      </c>
    </row>
    <row r="81" spans="1:17" ht="33.75">
      <c r="A81" s="156"/>
      <c r="B81" s="166"/>
      <c r="C81" s="13" t="s">
        <v>9</v>
      </c>
      <c r="D81" s="85" t="s">
        <v>161</v>
      </c>
      <c r="E81" s="39">
        <v>267.8</v>
      </c>
      <c r="F81" s="40">
        <v>250</v>
      </c>
      <c r="G81" s="39">
        <v>750</v>
      </c>
      <c r="H81" s="39">
        <v>728</v>
      </c>
      <c r="I81" s="41">
        <f t="shared" si="17"/>
        <v>97.06666666666666</v>
      </c>
      <c r="J81" s="40">
        <v>750</v>
      </c>
      <c r="K81" s="40">
        <v>786</v>
      </c>
      <c r="L81" s="34">
        <f t="shared" si="14"/>
        <v>104.80000000000001</v>
      </c>
      <c r="M81" s="102">
        <v>850</v>
      </c>
      <c r="N81" s="147">
        <f t="shared" si="18"/>
        <v>0.0034012386590133526</v>
      </c>
      <c r="O81" s="123">
        <v>1000</v>
      </c>
      <c r="P81" s="152">
        <f t="shared" si="20"/>
        <v>117.64705882352942</v>
      </c>
      <c r="Q81" s="151">
        <f t="shared" si="21"/>
        <v>0.004305400520474703</v>
      </c>
    </row>
    <row r="82" spans="1:17" ht="12.75">
      <c r="A82" s="156"/>
      <c r="B82" s="166"/>
      <c r="C82" s="13" t="s">
        <v>75</v>
      </c>
      <c r="D82" s="14" t="s">
        <v>76</v>
      </c>
      <c r="E82" s="39">
        <v>125187.66</v>
      </c>
      <c r="F82" s="40">
        <v>142000</v>
      </c>
      <c r="G82" s="39">
        <v>142000</v>
      </c>
      <c r="H82" s="39">
        <v>82720.41</v>
      </c>
      <c r="I82" s="41">
        <f t="shared" si="17"/>
        <v>58.253809859154934</v>
      </c>
      <c r="J82" s="40">
        <v>142000</v>
      </c>
      <c r="K82" s="40">
        <v>96836.03</v>
      </c>
      <c r="L82" s="34">
        <f t="shared" si="14"/>
        <v>68.19438732394366</v>
      </c>
      <c r="M82" s="106">
        <v>110000</v>
      </c>
      <c r="N82" s="147">
        <f t="shared" si="18"/>
        <v>0.4401602970487868</v>
      </c>
      <c r="O82" s="123">
        <v>109000</v>
      </c>
      <c r="P82" s="152">
        <f t="shared" si="20"/>
        <v>99.0909090909091</v>
      </c>
      <c r="Q82" s="151">
        <f t="shared" si="21"/>
        <v>0.4692886567317426</v>
      </c>
    </row>
    <row r="83" spans="1:17" ht="12.75">
      <c r="A83" s="156"/>
      <c r="B83" s="166"/>
      <c r="C83" s="13" t="s">
        <v>77</v>
      </c>
      <c r="D83" s="14" t="s">
        <v>78</v>
      </c>
      <c r="E83" s="39">
        <v>2941</v>
      </c>
      <c r="F83" s="40"/>
      <c r="G83" s="39"/>
      <c r="H83" s="39">
        <v>3701.16</v>
      </c>
      <c r="I83" s="41" t="e">
        <f t="shared" si="17"/>
        <v>#DIV/0!</v>
      </c>
      <c r="J83" s="40"/>
      <c r="K83" s="40">
        <v>3701.16</v>
      </c>
      <c r="L83" s="34" t="e">
        <f t="shared" si="14"/>
        <v>#DIV/0!</v>
      </c>
      <c r="M83" s="102">
        <v>3800</v>
      </c>
      <c r="N83" s="147">
        <f t="shared" si="18"/>
        <v>0.015205537534412637</v>
      </c>
      <c r="O83" s="123">
        <v>2000</v>
      </c>
      <c r="P83" s="152">
        <f t="shared" si="20"/>
        <v>52.63157894736842</v>
      </c>
      <c r="Q83" s="151">
        <f t="shared" si="21"/>
        <v>0.008610801040949407</v>
      </c>
    </row>
    <row r="84" spans="1:17" ht="12.75">
      <c r="A84" s="156"/>
      <c r="B84" s="166"/>
      <c r="C84" s="13" t="s">
        <v>10</v>
      </c>
      <c r="D84" s="14" t="s">
        <v>11</v>
      </c>
      <c r="E84" s="39">
        <v>7159.66</v>
      </c>
      <c r="F84" s="40">
        <v>5800</v>
      </c>
      <c r="G84" s="39">
        <v>5800</v>
      </c>
      <c r="H84" s="39">
        <v>5864.1</v>
      </c>
      <c r="I84" s="41">
        <f t="shared" si="17"/>
        <v>101.10517241379311</v>
      </c>
      <c r="J84" s="40">
        <v>5800</v>
      </c>
      <c r="K84" s="40">
        <v>6700.49</v>
      </c>
      <c r="L84" s="34">
        <f t="shared" si="14"/>
        <v>115.5256896551724</v>
      </c>
      <c r="M84" s="102">
        <v>8000</v>
      </c>
      <c r="N84" s="147">
        <f t="shared" si="18"/>
        <v>0.0320116579671845</v>
      </c>
      <c r="O84" s="123">
        <v>7500</v>
      </c>
      <c r="P84" s="152">
        <f t="shared" si="20"/>
        <v>93.75</v>
      </c>
      <c r="Q84" s="151">
        <f t="shared" si="21"/>
        <v>0.03229050390356027</v>
      </c>
    </row>
    <row r="85" spans="1:17" ht="15" customHeight="1">
      <c r="A85" s="156"/>
      <c r="B85" s="166"/>
      <c r="C85" s="13" t="s">
        <v>63</v>
      </c>
      <c r="D85" s="14" t="s">
        <v>89</v>
      </c>
      <c r="E85" s="39">
        <v>24526.38</v>
      </c>
      <c r="F85" s="40">
        <v>25000</v>
      </c>
      <c r="G85" s="39">
        <v>27000</v>
      </c>
      <c r="H85" s="39">
        <v>29087.57</v>
      </c>
      <c r="I85" s="41">
        <f t="shared" si="17"/>
        <v>107.73174074074075</v>
      </c>
      <c r="J85" s="40">
        <v>27000</v>
      </c>
      <c r="K85" s="40">
        <v>40602.13</v>
      </c>
      <c r="L85" s="34">
        <f t="shared" si="14"/>
        <v>150.37825925925924</v>
      </c>
      <c r="M85" s="102">
        <v>51000</v>
      </c>
      <c r="N85" s="147">
        <f t="shared" si="18"/>
        <v>0.20407431954080116</v>
      </c>
      <c r="O85" s="83">
        <v>45000</v>
      </c>
      <c r="P85" s="152">
        <f t="shared" si="20"/>
        <v>88.23529411764706</v>
      </c>
      <c r="Q85" s="151">
        <f t="shared" si="21"/>
        <v>0.19374302342136163</v>
      </c>
    </row>
    <row r="86" spans="1:17" s="11" customFormat="1" ht="31.5">
      <c r="A86" s="156"/>
      <c r="B86" s="170">
        <v>75618</v>
      </c>
      <c r="C86" s="9"/>
      <c r="D86" s="10" t="s">
        <v>190</v>
      </c>
      <c r="E86" s="33">
        <f>E87+E90+E89+E88+E91</f>
        <v>164159.16999999998</v>
      </c>
      <c r="F86" s="33">
        <f>F87+F90+F89+F88+F91</f>
        <v>432237</v>
      </c>
      <c r="G86" s="33">
        <f>G87+G90+G89+G88+G91</f>
        <v>337237</v>
      </c>
      <c r="H86" s="33">
        <f>H87+H90+H89+H88+H91</f>
        <v>255235.41</v>
      </c>
      <c r="I86" s="41">
        <f t="shared" si="17"/>
        <v>75.68428434602372</v>
      </c>
      <c r="J86" s="33">
        <f>J87+J90+J89+J88+J91</f>
        <v>337237</v>
      </c>
      <c r="K86" s="33">
        <f>K87+K90+K89+K88+K91</f>
        <v>265203.89999999997</v>
      </c>
      <c r="L86" s="34">
        <f t="shared" si="14"/>
        <v>78.64021444859253</v>
      </c>
      <c r="M86" s="100">
        <f>M87+M90+M89+M88+M91</f>
        <v>292235</v>
      </c>
      <c r="N86" s="146">
        <f t="shared" si="18"/>
        <v>1.1693658582550202</v>
      </c>
      <c r="O86" s="121">
        <f>O87+O90+O89+O88+O91</f>
        <v>296800</v>
      </c>
      <c r="P86" s="152">
        <f t="shared" si="20"/>
        <v>101.5620989956713</v>
      </c>
      <c r="Q86" s="138">
        <f t="shared" si="21"/>
        <v>1.2778428744768917</v>
      </c>
    </row>
    <row r="87" spans="1:17" ht="12.75">
      <c r="A87" s="156"/>
      <c r="B87" s="170"/>
      <c r="C87" s="13" t="s">
        <v>90</v>
      </c>
      <c r="D87" s="14" t="s">
        <v>91</v>
      </c>
      <c r="E87" s="39">
        <v>28233.87</v>
      </c>
      <c r="F87" s="40">
        <v>33000</v>
      </c>
      <c r="G87" s="39">
        <v>63000</v>
      </c>
      <c r="H87" s="39">
        <v>34651</v>
      </c>
      <c r="I87" s="41">
        <f t="shared" si="17"/>
        <v>55.00158730158731</v>
      </c>
      <c r="J87" s="40">
        <v>63000</v>
      </c>
      <c r="K87" s="40">
        <v>24779.7</v>
      </c>
      <c r="L87" s="34">
        <f t="shared" si="14"/>
        <v>39.332857142857144</v>
      </c>
      <c r="M87" s="101">
        <v>42000</v>
      </c>
      <c r="N87" s="147">
        <f t="shared" si="18"/>
        <v>0.16806120432771862</v>
      </c>
      <c r="O87" s="123">
        <v>41000</v>
      </c>
      <c r="P87" s="152">
        <f t="shared" si="20"/>
        <v>97.61904761904762</v>
      </c>
      <c r="Q87" s="151">
        <f t="shared" si="21"/>
        <v>0.17652142133946283</v>
      </c>
    </row>
    <row r="88" spans="1:17" ht="12.75">
      <c r="A88" s="156"/>
      <c r="B88" s="170"/>
      <c r="C88" s="13" t="s">
        <v>87</v>
      </c>
      <c r="D88" s="17" t="s">
        <v>88</v>
      </c>
      <c r="E88" s="39">
        <v>38719.06</v>
      </c>
      <c r="F88" s="40">
        <v>300000</v>
      </c>
      <c r="G88" s="39">
        <v>130000</v>
      </c>
      <c r="H88" s="39">
        <v>116113.68</v>
      </c>
      <c r="I88" s="41">
        <f t="shared" si="17"/>
        <v>89.31821538461539</v>
      </c>
      <c r="J88" s="40">
        <v>130000</v>
      </c>
      <c r="K88" s="40">
        <v>122980.17</v>
      </c>
      <c r="L88" s="34">
        <f t="shared" si="14"/>
        <v>94.60013076923077</v>
      </c>
      <c r="M88" s="102">
        <v>132000</v>
      </c>
      <c r="N88" s="147">
        <f t="shared" si="18"/>
        <v>0.5281923564585442</v>
      </c>
      <c r="O88" s="123">
        <v>135000</v>
      </c>
      <c r="P88" s="152">
        <f t="shared" si="20"/>
        <v>102.27272727272727</v>
      </c>
      <c r="Q88" s="151">
        <f t="shared" si="21"/>
        <v>0.5812290702640849</v>
      </c>
    </row>
    <row r="89" spans="1:17" ht="22.5">
      <c r="A89" s="156"/>
      <c r="B89" s="170"/>
      <c r="C89" s="13" t="s">
        <v>92</v>
      </c>
      <c r="D89" s="14" t="s">
        <v>93</v>
      </c>
      <c r="E89" s="39">
        <v>94092.14</v>
      </c>
      <c r="F89" s="40">
        <v>96237</v>
      </c>
      <c r="G89" s="39">
        <v>96237</v>
      </c>
      <c r="H89" s="39">
        <v>89671.79</v>
      </c>
      <c r="I89" s="41">
        <f t="shared" si="17"/>
        <v>93.17808119538222</v>
      </c>
      <c r="J89" s="40">
        <v>96237</v>
      </c>
      <c r="K89" s="40">
        <v>102185.09</v>
      </c>
      <c r="L89" s="34">
        <f t="shared" si="14"/>
        <v>106.1806685578312</v>
      </c>
      <c r="M89" s="102">
        <v>102185</v>
      </c>
      <c r="N89" s="147">
        <f t="shared" si="18"/>
        <v>0.40888890867209354</v>
      </c>
      <c r="O89" s="123">
        <v>104000</v>
      </c>
      <c r="P89" s="152">
        <f t="shared" si="20"/>
        <v>101.77619024318638</v>
      </c>
      <c r="Q89" s="151">
        <f t="shared" si="21"/>
        <v>0.44776165412936914</v>
      </c>
    </row>
    <row r="90" spans="1:17" ht="22.5">
      <c r="A90" s="156"/>
      <c r="B90" s="170"/>
      <c r="C90" s="13" t="s">
        <v>9</v>
      </c>
      <c r="D90" s="14" t="s">
        <v>74</v>
      </c>
      <c r="E90" s="39">
        <v>3114.1</v>
      </c>
      <c r="F90" s="40">
        <v>3000</v>
      </c>
      <c r="G90" s="39">
        <v>48000</v>
      </c>
      <c r="H90" s="39">
        <v>14089.65</v>
      </c>
      <c r="I90" s="41">
        <f t="shared" si="17"/>
        <v>29.353437500000002</v>
      </c>
      <c r="J90" s="40">
        <v>48000</v>
      </c>
      <c r="K90" s="40">
        <v>14549.65</v>
      </c>
      <c r="L90" s="34">
        <f t="shared" si="14"/>
        <v>30.311770833333334</v>
      </c>
      <c r="M90" s="102">
        <v>15300</v>
      </c>
      <c r="N90" s="147">
        <f t="shared" si="18"/>
        <v>0.06122229586224035</v>
      </c>
      <c r="O90" s="123">
        <v>16000</v>
      </c>
      <c r="P90" s="152">
        <f t="shared" si="20"/>
        <v>104.57516339869282</v>
      </c>
      <c r="Q90" s="151">
        <f>O90/$O$249*100</f>
        <v>0.06888640832759525</v>
      </c>
    </row>
    <row r="91" spans="1:17" ht="12.75">
      <c r="A91" s="156"/>
      <c r="B91" s="12"/>
      <c r="C91" s="13" t="s">
        <v>16</v>
      </c>
      <c r="D91" s="14" t="s">
        <v>17</v>
      </c>
      <c r="E91" s="39"/>
      <c r="F91" s="40"/>
      <c r="G91" s="39"/>
      <c r="H91" s="39">
        <v>709.29</v>
      </c>
      <c r="I91" s="41" t="e">
        <f t="shared" si="17"/>
        <v>#DIV/0!</v>
      </c>
      <c r="J91" s="40"/>
      <c r="K91" s="40">
        <v>709.29</v>
      </c>
      <c r="L91" s="34" t="e">
        <f t="shared" si="14"/>
        <v>#DIV/0!</v>
      </c>
      <c r="M91" s="102">
        <v>750</v>
      </c>
      <c r="N91" s="147">
        <f t="shared" si="18"/>
        <v>0.0030010929344235467</v>
      </c>
      <c r="O91" s="123">
        <v>800</v>
      </c>
      <c r="P91" s="152">
        <f t="shared" si="20"/>
        <v>106.66666666666667</v>
      </c>
      <c r="Q91" s="151">
        <f t="shared" si="21"/>
        <v>0.0034443204163797625</v>
      </c>
    </row>
    <row r="92" spans="1:17" s="11" customFormat="1" ht="21">
      <c r="A92" s="156"/>
      <c r="B92" s="163">
        <v>75621</v>
      </c>
      <c r="C92" s="9"/>
      <c r="D92" s="10" t="s">
        <v>191</v>
      </c>
      <c r="E92" s="33">
        <f>E93+E94</f>
        <v>1988496.55</v>
      </c>
      <c r="F92" s="33">
        <f>F93+F94</f>
        <v>2510881</v>
      </c>
      <c r="G92" s="33">
        <f>G93+G94</f>
        <v>2411321</v>
      </c>
      <c r="H92" s="33">
        <f>H93+H94</f>
        <v>1633476.04</v>
      </c>
      <c r="I92" s="34">
        <f t="shared" si="17"/>
        <v>67.74195720934708</v>
      </c>
      <c r="J92" s="33">
        <f>J93+J94</f>
        <v>2411321</v>
      </c>
      <c r="K92" s="33">
        <f>K93+K94</f>
        <v>1858642.84</v>
      </c>
      <c r="L92" s="34">
        <f t="shared" si="14"/>
        <v>77.0798595458672</v>
      </c>
      <c r="M92" s="100">
        <f>M93+M94</f>
        <v>2400321</v>
      </c>
      <c r="N92" s="146">
        <f t="shared" si="18"/>
        <v>9.604781857931282</v>
      </c>
      <c r="O92" s="121">
        <f>O93+O94</f>
        <v>2185636</v>
      </c>
      <c r="P92" s="152">
        <f t="shared" si="20"/>
        <v>91.05598792828125</v>
      </c>
      <c r="Q92" s="138">
        <f t="shared" si="21"/>
        <v>9.410038371968248</v>
      </c>
    </row>
    <row r="93" spans="1:17" ht="12.75">
      <c r="A93" s="156"/>
      <c r="B93" s="166"/>
      <c r="C93" s="13" t="s">
        <v>94</v>
      </c>
      <c r="D93" s="14" t="s">
        <v>95</v>
      </c>
      <c r="E93" s="39">
        <v>1962631</v>
      </c>
      <c r="F93" s="40">
        <v>2488881</v>
      </c>
      <c r="G93" s="39">
        <v>2389321</v>
      </c>
      <c r="H93" s="39">
        <v>1625626</v>
      </c>
      <c r="I93" s="41">
        <f t="shared" si="17"/>
        <v>68.03715365160228</v>
      </c>
      <c r="J93" s="40">
        <v>2389321</v>
      </c>
      <c r="K93" s="40">
        <v>1849857</v>
      </c>
      <c r="L93" s="34">
        <f t="shared" si="14"/>
        <v>77.42187006266634</v>
      </c>
      <c r="M93" s="101">
        <v>2389321</v>
      </c>
      <c r="N93" s="147">
        <f t="shared" si="18"/>
        <v>9.560765828226405</v>
      </c>
      <c r="O93" s="123">
        <v>2172636</v>
      </c>
      <c r="P93" s="152">
        <f t="shared" si="20"/>
        <v>90.93110553165523</v>
      </c>
      <c r="Q93" s="151">
        <f t="shared" si="21"/>
        <v>9.354068165202078</v>
      </c>
    </row>
    <row r="94" spans="1:17" ht="13.5" customHeight="1">
      <c r="A94" s="156"/>
      <c r="B94" s="169"/>
      <c r="C94" s="13" t="s">
        <v>96</v>
      </c>
      <c r="D94" s="14" t="s">
        <v>97</v>
      </c>
      <c r="E94" s="39">
        <v>25865.55</v>
      </c>
      <c r="F94" s="40">
        <v>22000</v>
      </c>
      <c r="G94" s="39">
        <v>22000</v>
      </c>
      <c r="H94" s="39">
        <v>7850.04</v>
      </c>
      <c r="I94" s="41">
        <f t="shared" si="17"/>
        <v>35.682</v>
      </c>
      <c r="J94" s="40">
        <v>22000</v>
      </c>
      <c r="K94" s="40">
        <v>8785.84</v>
      </c>
      <c r="L94" s="34">
        <f t="shared" si="14"/>
        <v>39.93563636363636</v>
      </c>
      <c r="M94" s="102">
        <v>11000</v>
      </c>
      <c r="N94" s="147">
        <f t="shared" si="18"/>
        <v>0.04401602970487869</v>
      </c>
      <c r="O94" s="123">
        <v>13000</v>
      </c>
      <c r="P94" s="152">
        <f t="shared" si="20"/>
        <v>118.18181818181819</v>
      </c>
      <c r="Q94" s="151">
        <f t="shared" si="21"/>
        <v>0.05597020676617114</v>
      </c>
    </row>
    <row r="95" spans="1:17" s="11" customFormat="1" ht="12.75">
      <c r="A95" s="170">
        <v>758</v>
      </c>
      <c r="B95" s="9"/>
      <c r="C95" s="9"/>
      <c r="D95" s="10" t="s">
        <v>98</v>
      </c>
      <c r="E95" s="33" t="e">
        <f>E96+E98+E100+E102+#REF!</f>
        <v>#REF!</v>
      </c>
      <c r="F95" s="33" t="e">
        <f>F96+F98+F100+F102+#REF!</f>
        <v>#REF!</v>
      </c>
      <c r="G95" s="33" t="e">
        <f>G96+G98+G100+G102+#REF!</f>
        <v>#REF!</v>
      </c>
      <c r="H95" s="33" t="e">
        <f>H96+H98+H100+H102+#REF!</f>
        <v>#REF!</v>
      </c>
      <c r="I95" s="34" t="e">
        <f t="shared" si="17"/>
        <v>#REF!</v>
      </c>
      <c r="J95" s="33" t="e">
        <f>J96+#REF!+J98+J100+J102</f>
        <v>#REF!</v>
      </c>
      <c r="K95" s="33" t="e">
        <f>K96+#REF!+K98+K100+K102</f>
        <v>#REF!</v>
      </c>
      <c r="L95" s="33" t="e">
        <f>L96+#REF!+L98+L100+L102</f>
        <v>#REF!</v>
      </c>
      <c r="M95" s="100">
        <f>M96+M98+M100+M102</f>
        <v>10465254</v>
      </c>
      <c r="N95" s="146">
        <f t="shared" si="18"/>
        <v>41.87626644846368</v>
      </c>
      <c r="O95" s="121">
        <f>O96+O98+O100+O102</f>
        <v>10060433</v>
      </c>
      <c r="P95" s="152">
        <f t="shared" si="20"/>
        <v>96.13176135046507</v>
      </c>
      <c r="Q95" s="138">
        <f t="shared" si="21"/>
        <v>43.314193474400874</v>
      </c>
    </row>
    <row r="96" spans="1:17" s="11" customFormat="1" ht="21">
      <c r="A96" s="170"/>
      <c r="B96" s="163">
        <v>75801</v>
      </c>
      <c r="C96" s="9"/>
      <c r="D96" s="10" t="s">
        <v>192</v>
      </c>
      <c r="E96" s="33">
        <f>E97</f>
        <v>6399788</v>
      </c>
      <c r="F96" s="33">
        <f>F97</f>
        <v>6370781</v>
      </c>
      <c r="G96" s="33">
        <f>G97</f>
        <v>6437835</v>
      </c>
      <c r="H96" s="33">
        <f>H97</f>
        <v>5447398</v>
      </c>
      <c r="I96" s="34">
        <f t="shared" si="17"/>
        <v>84.61537147193117</v>
      </c>
      <c r="J96" s="33">
        <f>J97</f>
        <v>6437835</v>
      </c>
      <c r="K96" s="33">
        <f>K97</f>
        <v>5942616</v>
      </c>
      <c r="L96" s="33">
        <f>L97</f>
        <v>92.30767796937945</v>
      </c>
      <c r="M96" s="100">
        <f>M97</f>
        <v>6437835</v>
      </c>
      <c r="N96" s="146">
        <f t="shared" si="18"/>
        <v>25.76072150864615</v>
      </c>
      <c r="O96" s="121">
        <f>O97</f>
        <v>6450796</v>
      </c>
      <c r="P96" s="152">
        <f t="shared" si="20"/>
        <v>100.20132544558847</v>
      </c>
      <c r="Q96" s="138">
        <f t="shared" si="21"/>
        <v>27.77326045587613</v>
      </c>
    </row>
    <row r="97" spans="1:17" ht="12.75">
      <c r="A97" s="170"/>
      <c r="B97" s="169"/>
      <c r="C97" s="13">
        <v>2920</v>
      </c>
      <c r="D97" s="14" t="s">
        <v>99</v>
      </c>
      <c r="E97" s="39">
        <v>6399788</v>
      </c>
      <c r="F97" s="40">
        <v>6370781</v>
      </c>
      <c r="G97" s="39">
        <v>6437835</v>
      </c>
      <c r="H97" s="39">
        <v>5447398</v>
      </c>
      <c r="I97" s="41">
        <f t="shared" si="17"/>
        <v>84.61537147193117</v>
      </c>
      <c r="J97" s="40">
        <v>6437835</v>
      </c>
      <c r="K97" s="40">
        <v>5942616</v>
      </c>
      <c r="L97" s="34">
        <f>K97/J97*100</f>
        <v>92.30767796937945</v>
      </c>
      <c r="M97" s="101">
        <v>6437835</v>
      </c>
      <c r="N97" s="147">
        <f t="shared" si="18"/>
        <v>25.76072150864615</v>
      </c>
      <c r="O97" s="123">
        <v>6450796</v>
      </c>
      <c r="P97" s="152">
        <f t="shared" si="20"/>
        <v>100.20132544558847</v>
      </c>
      <c r="Q97" s="138">
        <f t="shared" si="21"/>
        <v>27.77326045587613</v>
      </c>
    </row>
    <row r="98" spans="1:17" s="11" customFormat="1" ht="21">
      <c r="A98" s="170"/>
      <c r="B98" s="163">
        <v>75807</v>
      </c>
      <c r="C98" s="9"/>
      <c r="D98" s="10" t="s">
        <v>100</v>
      </c>
      <c r="E98" s="33">
        <f>E99</f>
        <v>3581575</v>
      </c>
      <c r="F98" s="33">
        <f>F99</f>
        <v>3988511</v>
      </c>
      <c r="G98" s="33">
        <f>G99</f>
        <v>3988511</v>
      </c>
      <c r="H98" s="33">
        <f>H99</f>
        <v>2991384</v>
      </c>
      <c r="I98" s="34">
        <f aca="true" t="shared" si="22" ref="I98:I103">(H98/G98)*100</f>
        <v>75.00001880400981</v>
      </c>
      <c r="J98" s="33">
        <f>J99</f>
        <v>3988511</v>
      </c>
      <c r="K98" s="33">
        <f>K99</f>
        <v>3323760</v>
      </c>
      <c r="L98" s="33">
        <f>L99</f>
        <v>83.33335422667757</v>
      </c>
      <c r="M98" s="100">
        <f>M99</f>
        <v>3988511</v>
      </c>
      <c r="N98" s="146">
        <f t="shared" si="18"/>
        <v>15.959856241294126</v>
      </c>
      <c r="O98" s="121">
        <f>O99</f>
        <v>3593757</v>
      </c>
      <c r="P98" s="152">
        <f t="shared" si="20"/>
        <v>90.10272254482939</v>
      </c>
      <c r="Q98" s="138">
        <f t="shared" si="21"/>
        <v>15.472563258259608</v>
      </c>
    </row>
    <row r="99" spans="1:17" ht="12.75">
      <c r="A99" s="170"/>
      <c r="B99" s="169"/>
      <c r="C99" s="13">
        <v>2920</v>
      </c>
      <c r="D99" s="14" t="s">
        <v>99</v>
      </c>
      <c r="E99" s="39">
        <v>3581575</v>
      </c>
      <c r="F99" s="40">
        <v>3988511</v>
      </c>
      <c r="G99" s="39">
        <v>3988511</v>
      </c>
      <c r="H99" s="39">
        <v>2991384</v>
      </c>
      <c r="I99" s="41">
        <f t="shared" si="22"/>
        <v>75.00001880400981</v>
      </c>
      <c r="J99" s="40">
        <v>3988511</v>
      </c>
      <c r="K99" s="40">
        <v>3323760</v>
      </c>
      <c r="L99" s="34">
        <f>K99/J99*100</f>
        <v>83.33335422667757</v>
      </c>
      <c r="M99" s="102">
        <v>3988511</v>
      </c>
      <c r="N99" s="147">
        <f t="shared" si="18"/>
        <v>15.959856241294126</v>
      </c>
      <c r="O99" s="123">
        <v>3593757</v>
      </c>
      <c r="P99" s="152">
        <f t="shared" si="20"/>
        <v>90.10272254482939</v>
      </c>
      <c r="Q99" s="138">
        <f t="shared" si="21"/>
        <v>15.472563258259608</v>
      </c>
    </row>
    <row r="100" spans="1:17" s="11" customFormat="1" ht="12.75">
      <c r="A100" s="170"/>
      <c r="B100" s="163">
        <v>75814</v>
      </c>
      <c r="C100" s="9"/>
      <c r="D100" s="10" t="s">
        <v>101</v>
      </c>
      <c r="E100" s="33">
        <f>E101</f>
        <v>3298.86</v>
      </c>
      <c r="F100" s="33">
        <f>F101</f>
        <v>3500</v>
      </c>
      <c r="G100" s="33">
        <f>G101</f>
        <v>3500</v>
      </c>
      <c r="H100" s="33">
        <f>H101</f>
        <v>666.63</v>
      </c>
      <c r="I100" s="34">
        <f t="shared" si="22"/>
        <v>19.04657142857143</v>
      </c>
      <c r="J100" s="33">
        <f>J101</f>
        <v>3500</v>
      </c>
      <c r="K100" s="33">
        <f>K101</f>
        <v>670.12</v>
      </c>
      <c r="L100" s="33">
        <f>L101</f>
        <v>19.146285714285717</v>
      </c>
      <c r="M100" s="100">
        <f>M101</f>
        <v>800</v>
      </c>
      <c r="N100" s="146">
        <f t="shared" si="18"/>
        <v>0.0032011657967184496</v>
      </c>
      <c r="O100" s="121">
        <f>O101</f>
        <v>1000</v>
      </c>
      <c r="P100" s="152">
        <f t="shared" si="20"/>
        <v>125</v>
      </c>
      <c r="Q100" s="138">
        <f t="shared" si="21"/>
        <v>0.004305400520474703</v>
      </c>
    </row>
    <row r="101" spans="1:17" ht="12.75">
      <c r="A101" s="170"/>
      <c r="B101" s="169"/>
      <c r="C101" s="13" t="s">
        <v>41</v>
      </c>
      <c r="D101" s="14" t="s">
        <v>42</v>
      </c>
      <c r="E101" s="39">
        <v>3298.86</v>
      </c>
      <c r="F101" s="40">
        <v>3500</v>
      </c>
      <c r="G101" s="39">
        <v>3500</v>
      </c>
      <c r="H101" s="39">
        <v>666.63</v>
      </c>
      <c r="I101" s="41">
        <f t="shared" si="22"/>
        <v>19.04657142857143</v>
      </c>
      <c r="J101" s="40">
        <v>3500</v>
      </c>
      <c r="K101" s="40">
        <v>670.12</v>
      </c>
      <c r="L101" s="34">
        <f>K101/J101*100</f>
        <v>19.146285714285717</v>
      </c>
      <c r="M101" s="102">
        <v>800</v>
      </c>
      <c r="N101" s="147">
        <f t="shared" si="18"/>
        <v>0.0032011657967184496</v>
      </c>
      <c r="O101" s="123">
        <v>1000</v>
      </c>
      <c r="P101" s="152">
        <f t="shared" si="20"/>
        <v>125</v>
      </c>
      <c r="Q101" s="138">
        <f t="shared" si="21"/>
        <v>0.004305400520474703</v>
      </c>
    </row>
    <row r="102" spans="1:17" s="11" customFormat="1" ht="21">
      <c r="A102" s="156"/>
      <c r="B102" s="163" t="s">
        <v>102</v>
      </c>
      <c r="C102" s="9"/>
      <c r="D102" s="10" t="s">
        <v>103</v>
      </c>
      <c r="E102" s="33">
        <f>E103</f>
        <v>44298</v>
      </c>
      <c r="F102" s="33">
        <f>F103</f>
        <v>38108</v>
      </c>
      <c r="G102" s="33">
        <f>G103</f>
        <v>38108</v>
      </c>
      <c r="H102" s="33">
        <f>H103</f>
        <v>28584</v>
      </c>
      <c r="I102" s="34">
        <f t="shared" si="22"/>
        <v>75.00787236275848</v>
      </c>
      <c r="J102" s="33">
        <f>J103</f>
        <v>38108</v>
      </c>
      <c r="K102" s="33">
        <f>K103</f>
        <v>31760</v>
      </c>
      <c r="L102" s="33">
        <f>L103</f>
        <v>83.34208040306498</v>
      </c>
      <c r="M102" s="100">
        <f>M103</f>
        <v>38108</v>
      </c>
      <c r="N102" s="146">
        <f t="shared" si="18"/>
        <v>0.15248753272668336</v>
      </c>
      <c r="O102" s="121">
        <f>O103</f>
        <v>14880</v>
      </c>
      <c r="P102" s="152">
        <f t="shared" si="20"/>
        <v>39.04691928204051</v>
      </c>
      <c r="Q102" s="151">
        <f>O102/$O$249*100</f>
        <v>0.06406435974466358</v>
      </c>
    </row>
    <row r="103" spans="1:17" ht="12.75">
      <c r="A103" s="156"/>
      <c r="B103" s="169"/>
      <c r="C103" s="13" t="s">
        <v>104</v>
      </c>
      <c r="D103" s="14" t="str">
        <f>D97</f>
        <v>Subwencje ogólne z budżetu państwa</v>
      </c>
      <c r="E103" s="39">
        <v>44298</v>
      </c>
      <c r="F103" s="40">
        <v>38108</v>
      </c>
      <c r="G103" s="39">
        <v>38108</v>
      </c>
      <c r="H103" s="39">
        <v>28584</v>
      </c>
      <c r="I103" s="41">
        <f t="shared" si="22"/>
        <v>75.00787236275848</v>
      </c>
      <c r="J103" s="40">
        <v>38108</v>
      </c>
      <c r="K103" s="40">
        <v>31760</v>
      </c>
      <c r="L103" s="34">
        <f>K103/J103*100</f>
        <v>83.34208040306498</v>
      </c>
      <c r="M103" s="102">
        <v>38108</v>
      </c>
      <c r="N103" s="147">
        <f t="shared" si="18"/>
        <v>0.15248753272668336</v>
      </c>
      <c r="O103" s="123">
        <v>14880</v>
      </c>
      <c r="P103" s="152">
        <f t="shared" si="20"/>
        <v>39.04691928204051</v>
      </c>
      <c r="Q103" s="138">
        <f aca="true" t="shared" si="23" ref="Q103:Q117">O103/$O$249*100</f>
        <v>0.06406435974466358</v>
      </c>
    </row>
    <row r="104" spans="1:17" s="11" customFormat="1" ht="12.75">
      <c r="A104" s="163">
        <v>801</v>
      </c>
      <c r="B104" s="9"/>
      <c r="C104" s="9"/>
      <c r="D104" s="10" t="s">
        <v>105</v>
      </c>
      <c r="E104" s="33" t="e">
        <f>E105+E111+E116+E122+E125+E132+#REF!+#REF!+E114</f>
        <v>#REF!</v>
      </c>
      <c r="F104" s="33" t="e">
        <f>F105+F111+F116+F122+F125+F132+#REF!+#REF!+F114</f>
        <v>#REF!</v>
      </c>
      <c r="G104" s="33" t="e">
        <f>G105+G111+G116+G122+G125+G132+#REF!+#REF!+G114</f>
        <v>#REF!</v>
      </c>
      <c r="H104" s="33" t="e">
        <f>H105+H111+H116+H122+H125+H132+#REF!+#REF!+H114</f>
        <v>#REF!</v>
      </c>
      <c r="I104" s="33" t="e">
        <f>I105+I111+I116+I122+I125+I132+#REF!+#REF!+I114</f>
        <v>#REF!</v>
      </c>
      <c r="J104" s="33" t="e">
        <f>J105+J111+J116+J122+J125+J132+#REF!+#REF!+J114</f>
        <v>#REF!</v>
      </c>
      <c r="K104" s="33" t="e">
        <f>K105+K111+K116+K122+K125+K132+#REF!+#REF!+K114</f>
        <v>#REF!</v>
      </c>
      <c r="L104" s="33" t="e">
        <f>L105+L111+L116+L122+L125+L132+#REF!+#REF!+L114</f>
        <v>#REF!</v>
      </c>
      <c r="M104" s="100">
        <f>M105+M111+M116+M122+M125+M132+M114</f>
        <v>2034564.8199999998</v>
      </c>
      <c r="N104" s="146">
        <f t="shared" si="18"/>
        <v>8.141224141238286</v>
      </c>
      <c r="O104" s="121">
        <f>O105+O111+O116+O122+O125+O132+O114</f>
        <v>524917.77</v>
      </c>
      <c r="P104" s="152">
        <f t="shared" si="20"/>
        <v>25.800002282552004</v>
      </c>
      <c r="Q104" s="138">
        <f t="shared" si="23"/>
        <v>2.2599812401644206</v>
      </c>
    </row>
    <row r="105" spans="1:17" s="11" customFormat="1" ht="12.75">
      <c r="A105" s="164"/>
      <c r="B105" s="163" t="s">
        <v>106</v>
      </c>
      <c r="C105" s="9"/>
      <c r="D105" s="10" t="s">
        <v>107</v>
      </c>
      <c r="E105" s="33" t="e">
        <f>E106+#REF!+E107+E108+E109+#REF!+E110</f>
        <v>#REF!</v>
      </c>
      <c r="F105" s="33" t="e">
        <f>F106+#REF!+F107+F108+F109+#REF!+F110</f>
        <v>#REF!</v>
      </c>
      <c r="G105" s="33" t="e">
        <f>G106+#REF!+G107+G108+G109+#REF!+G110</f>
        <v>#REF!</v>
      </c>
      <c r="H105" s="33" t="e">
        <f>H106+#REF!+H107+H108+H109+#REF!+H110</f>
        <v>#REF!</v>
      </c>
      <c r="I105" s="33" t="e">
        <f>I106+#REF!+I107+I108+I109+#REF!+I110</f>
        <v>#REF!</v>
      </c>
      <c r="J105" s="33" t="e">
        <f>J106+#REF!+J107+J108+J109+#REF!+J110</f>
        <v>#REF!</v>
      </c>
      <c r="K105" s="33" t="e">
        <f>K106+#REF!+K107+K108+K109+#REF!+K110</f>
        <v>#REF!</v>
      </c>
      <c r="L105" s="33" t="e">
        <f>L106+#REF!+L107+L108+L109+#REF!+L110</f>
        <v>#REF!</v>
      </c>
      <c r="M105" s="100">
        <f>M106+M107+M108+M109+M110</f>
        <v>187394.38</v>
      </c>
      <c r="N105" s="146">
        <f t="shared" si="18"/>
        <v>0.749850599691575</v>
      </c>
      <c r="O105" s="121">
        <f>O106+O107+O108+O109+O110</f>
        <v>150585.08000000002</v>
      </c>
      <c r="P105" s="152">
        <f t="shared" si="20"/>
        <v>80.3573084742456</v>
      </c>
      <c r="Q105" s="138">
        <f t="shared" si="23"/>
        <v>0.6483290818077249</v>
      </c>
    </row>
    <row r="106" spans="1:17" ht="56.25">
      <c r="A106" s="164"/>
      <c r="B106" s="166"/>
      <c r="C106" s="13" t="s">
        <v>24</v>
      </c>
      <c r="D106" s="14" t="s">
        <v>210</v>
      </c>
      <c r="E106" s="39"/>
      <c r="F106" s="40">
        <v>500</v>
      </c>
      <c r="G106" s="39">
        <v>1700</v>
      </c>
      <c r="H106" s="39">
        <v>2114.85</v>
      </c>
      <c r="I106" s="41">
        <f aca="true" t="shared" si="24" ref="I106:I113">(H106/G106)*100</f>
        <v>124.40294117647059</v>
      </c>
      <c r="J106" s="40">
        <v>1700</v>
      </c>
      <c r="K106" s="40">
        <v>2114.85</v>
      </c>
      <c r="L106" s="34">
        <f>K106/J106*100</f>
        <v>124.40294117647059</v>
      </c>
      <c r="M106" s="102">
        <v>3000</v>
      </c>
      <c r="N106" s="147">
        <f t="shared" si="18"/>
        <v>0.012004371737694187</v>
      </c>
      <c r="O106" s="123">
        <v>5000</v>
      </c>
      <c r="P106" s="152">
        <f t="shared" si="20"/>
        <v>166.66666666666669</v>
      </c>
      <c r="Q106" s="151">
        <f t="shared" si="23"/>
        <v>0.021527002602373516</v>
      </c>
    </row>
    <row r="107" spans="1:17" ht="12.75">
      <c r="A107" s="164"/>
      <c r="B107" s="166"/>
      <c r="C107" s="13" t="s">
        <v>41</v>
      </c>
      <c r="D107" s="14" t="s">
        <v>42</v>
      </c>
      <c r="E107" s="39">
        <v>160.76</v>
      </c>
      <c r="F107" s="40">
        <v>200</v>
      </c>
      <c r="G107" s="39">
        <v>200</v>
      </c>
      <c r="H107" s="39">
        <v>110.56</v>
      </c>
      <c r="I107" s="41">
        <f t="shared" si="24"/>
        <v>55.279999999999994</v>
      </c>
      <c r="J107" s="40">
        <v>200</v>
      </c>
      <c r="K107" s="40">
        <v>110.56</v>
      </c>
      <c r="L107" s="34">
        <f>K107/J107*100</f>
        <v>55.279999999999994</v>
      </c>
      <c r="M107" s="102">
        <v>200</v>
      </c>
      <c r="N107" s="147">
        <f t="shared" si="18"/>
        <v>0.0008002914491796124</v>
      </c>
      <c r="O107" s="123">
        <v>100</v>
      </c>
      <c r="P107" s="152">
        <f t="shared" si="20"/>
        <v>50</v>
      </c>
      <c r="Q107" s="151">
        <f t="shared" si="23"/>
        <v>0.0004305400520474703</v>
      </c>
    </row>
    <row r="108" spans="1:17" ht="12.75">
      <c r="A108" s="164"/>
      <c r="B108" s="166"/>
      <c r="C108" s="13" t="s">
        <v>16</v>
      </c>
      <c r="D108" s="14" t="s">
        <v>17</v>
      </c>
      <c r="E108" s="39">
        <v>2465.5</v>
      </c>
      <c r="F108" s="40">
        <v>1700</v>
      </c>
      <c r="G108" s="39">
        <v>1700</v>
      </c>
      <c r="H108" s="39">
        <v>443.29</v>
      </c>
      <c r="I108" s="41">
        <f t="shared" si="24"/>
        <v>26.075882352941175</v>
      </c>
      <c r="J108" s="40">
        <v>1700</v>
      </c>
      <c r="K108" s="40">
        <v>443.29</v>
      </c>
      <c r="L108" s="34">
        <f>K108/J108*100</f>
        <v>26.075882352941175</v>
      </c>
      <c r="M108" s="102">
        <v>600</v>
      </c>
      <c r="N108" s="147">
        <f t="shared" si="18"/>
        <v>0.0024008743475388374</v>
      </c>
      <c r="O108" s="123">
        <v>900</v>
      </c>
      <c r="P108" s="152">
        <f t="shared" si="20"/>
        <v>150</v>
      </c>
      <c r="Q108" s="151">
        <f t="shared" si="23"/>
        <v>0.0038748604684272327</v>
      </c>
    </row>
    <row r="109" spans="1:17" ht="22.5">
      <c r="A109" s="164"/>
      <c r="B109" s="166"/>
      <c r="C109" s="13" t="s">
        <v>154</v>
      </c>
      <c r="D109" s="14" t="s">
        <v>127</v>
      </c>
      <c r="E109" s="39"/>
      <c r="F109" s="40">
        <v>101063.78</v>
      </c>
      <c r="G109" s="39">
        <v>153943.18</v>
      </c>
      <c r="H109" s="39">
        <v>143576.71</v>
      </c>
      <c r="I109" s="41">
        <f t="shared" si="24"/>
        <v>93.26604140566668</v>
      </c>
      <c r="J109" s="40">
        <v>153943.18</v>
      </c>
      <c r="K109" s="40">
        <v>156055.22</v>
      </c>
      <c r="L109" s="34">
        <f>K109/J109*100</f>
        <v>101.37196074551662</v>
      </c>
      <c r="M109" s="102">
        <v>156055.22</v>
      </c>
      <c r="N109" s="147">
        <f t="shared" si="18"/>
        <v>0.6244482908292162</v>
      </c>
      <c r="O109" s="123">
        <v>122897.32</v>
      </c>
      <c r="P109" s="152">
        <f t="shared" si="20"/>
        <v>78.75245698285518</v>
      </c>
      <c r="Q109" s="151">
        <f t="shared" si="23"/>
        <v>0.5291221854929462</v>
      </c>
    </row>
    <row r="110" spans="1:17" ht="22.5">
      <c r="A110" s="164"/>
      <c r="B110" s="166"/>
      <c r="C110" s="13" t="s">
        <v>128</v>
      </c>
      <c r="D110" s="14" t="s">
        <v>127</v>
      </c>
      <c r="E110" s="39"/>
      <c r="F110" s="40"/>
      <c r="G110" s="39">
        <v>27166.44</v>
      </c>
      <c r="H110" s="39">
        <v>25337.07</v>
      </c>
      <c r="I110" s="41">
        <f t="shared" si="24"/>
        <v>93.26606651442</v>
      </c>
      <c r="J110" s="40">
        <v>27166.44</v>
      </c>
      <c r="K110" s="40">
        <v>27539.16</v>
      </c>
      <c r="L110" s="34">
        <f>K110/J110*100</f>
        <v>101.37198690737543</v>
      </c>
      <c r="M110" s="102">
        <v>27539.16</v>
      </c>
      <c r="N110" s="147">
        <f t="shared" si="18"/>
        <v>0.11019677132794609</v>
      </c>
      <c r="O110" s="123">
        <v>21687.76</v>
      </c>
      <c r="P110" s="152">
        <f t="shared" si="20"/>
        <v>78.75243834597714</v>
      </c>
      <c r="Q110" s="151">
        <f t="shared" si="23"/>
        <v>0.09337449319193043</v>
      </c>
    </row>
    <row r="111" spans="1:17" s="11" customFormat="1" ht="12.75">
      <c r="A111" s="164"/>
      <c r="B111" s="163">
        <v>80104</v>
      </c>
      <c r="C111" s="9"/>
      <c r="D111" s="10" t="s">
        <v>109</v>
      </c>
      <c r="E111" s="33" t="e">
        <f>#REF!+E112+E113+#REF!+#REF!</f>
        <v>#REF!</v>
      </c>
      <c r="F111" s="33" t="e">
        <f>#REF!+F112+F113+#REF!+#REF!</f>
        <v>#REF!</v>
      </c>
      <c r="G111" s="33" t="e">
        <f>#REF!+G112+G113+#REF!+#REF!</f>
        <v>#REF!</v>
      </c>
      <c r="H111" s="33" t="e">
        <f>#REF!+H112+H113+#REF!+#REF!</f>
        <v>#REF!</v>
      </c>
      <c r="I111" s="41" t="e">
        <f t="shared" si="24"/>
        <v>#REF!</v>
      </c>
      <c r="J111" s="51" t="e">
        <f>#REF!+J112+J113+#REF!+#REF!</f>
        <v>#REF!</v>
      </c>
      <c r="K111" s="51" t="e">
        <f>#REF!+K112+K113+#REF!+#REF!</f>
        <v>#REF!</v>
      </c>
      <c r="L111" s="51" t="e">
        <f>#REF!+L112+L113+#REF!+#REF!</f>
        <v>#REF!</v>
      </c>
      <c r="M111" s="104">
        <f>M112+M113</f>
        <v>130</v>
      </c>
      <c r="N111" s="146">
        <f t="shared" si="18"/>
        <v>0.0005201894419667481</v>
      </c>
      <c r="O111" s="126">
        <f>O112+O113</f>
        <v>150</v>
      </c>
      <c r="P111" s="152">
        <f t="shared" si="20"/>
        <v>115.38461538461537</v>
      </c>
      <c r="Q111" s="138">
        <f t="shared" si="23"/>
        <v>0.0006458100780712055</v>
      </c>
    </row>
    <row r="112" spans="1:17" ht="12.75">
      <c r="A112" s="164"/>
      <c r="B112" s="166"/>
      <c r="C112" s="13" t="s">
        <v>41</v>
      </c>
      <c r="D112" s="14" t="s">
        <v>42</v>
      </c>
      <c r="E112" s="39">
        <v>30.42</v>
      </c>
      <c r="F112" s="40">
        <v>50</v>
      </c>
      <c r="G112" s="39">
        <v>50</v>
      </c>
      <c r="H112" s="39">
        <v>19.48</v>
      </c>
      <c r="I112" s="41">
        <f t="shared" si="24"/>
        <v>38.96</v>
      </c>
      <c r="J112" s="40">
        <v>50</v>
      </c>
      <c r="K112" s="40">
        <v>19.48</v>
      </c>
      <c r="L112" s="34">
        <f>K112/J112*100</f>
        <v>38.96</v>
      </c>
      <c r="M112" s="102">
        <v>50</v>
      </c>
      <c r="N112" s="147">
        <f t="shared" si="18"/>
        <v>0.0002000728622949031</v>
      </c>
      <c r="O112" s="123">
        <v>50</v>
      </c>
      <c r="P112" s="152">
        <f t="shared" si="20"/>
        <v>100</v>
      </c>
      <c r="Q112" s="138">
        <f t="shared" si="23"/>
        <v>0.00021527002602373516</v>
      </c>
    </row>
    <row r="113" spans="1:17" ht="12.75">
      <c r="A113" s="164"/>
      <c r="B113" s="166"/>
      <c r="C113" s="13" t="s">
        <v>16</v>
      </c>
      <c r="D113" s="14" t="s">
        <v>17</v>
      </c>
      <c r="E113" s="39">
        <v>63</v>
      </c>
      <c r="F113" s="40">
        <v>80</v>
      </c>
      <c r="G113" s="39">
        <v>80</v>
      </c>
      <c r="H113" s="39">
        <v>59</v>
      </c>
      <c r="I113" s="41">
        <f t="shared" si="24"/>
        <v>73.75</v>
      </c>
      <c r="J113" s="40">
        <v>80</v>
      </c>
      <c r="K113" s="40">
        <v>59</v>
      </c>
      <c r="L113" s="34">
        <f>K113/J113*100</f>
        <v>73.75</v>
      </c>
      <c r="M113" s="102">
        <v>80</v>
      </c>
      <c r="N113" s="147">
        <f t="shared" si="18"/>
        <v>0.000320116579671845</v>
      </c>
      <c r="O113" s="123">
        <v>100</v>
      </c>
      <c r="P113" s="152">
        <f t="shared" si="20"/>
        <v>125</v>
      </c>
      <c r="Q113" s="138">
        <f t="shared" si="23"/>
        <v>0.0004305400520474703</v>
      </c>
    </row>
    <row r="114" spans="1:17" s="24" customFormat="1" ht="12.75">
      <c r="A114" s="164"/>
      <c r="B114" s="21">
        <v>80106</v>
      </c>
      <c r="C114" s="9"/>
      <c r="D114" s="10" t="s">
        <v>181</v>
      </c>
      <c r="E114" s="38">
        <f aca="true" t="shared" si="25" ref="E114:O114">E115</f>
        <v>0</v>
      </c>
      <c r="F114" s="38">
        <f t="shared" si="25"/>
        <v>0</v>
      </c>
      <c r="G114" s="38">
        <f t="shared" si="25"/>
        <v>0</v>
      </c>
      <c r="H114" s="38">
        <f t="shared" si="25"/>
        <v>0</v>
      </c>
      <c r="I114" s="38">
        <f t="shared" si="25"/>
        <v>0</v>
      </c>
      <c r="J114" s="38">
        <f t="shared" si="25"/>
        <v>0</v>
      </c>
      <c r="K114" s="38">
        <f t="shared" si="25"/>
        <v>0</v>
      </c>
      <c r="L114" s="38">
        <f t="shared" si="25"/>
        <v>0</v>
      </c>
      <c r="M114" s="105">
        <f>M115</f>
        <v>2512</v>
      </c>
      <c r="N114" s="146">
        <f t="shared" si="18"/>
        <v>0.010051660601695933</v>
      </c>
      <c r="O114" s="127">
        <f t="shared" si="25"/>
        <v>2400</v>
      </c>
      <c r="P114" s="152">
        <f t="shared" si="20"/>
        <v>95.54140127388536</v>
      </c>
      <c r="Q114" s="138">
        <f t="shared" si="23"/>
        <v>0.010332961249139287</v>
      </c>
    </row>
    <row r="115" spans="1:17" s="24" customFormat="1" ht="22.5">
      <c r="A115" s="164"/>
      <c r="B115" s="22"/>
      <c r="C115" s="13" t="s">
        <v>180</v>
      </c>
      <c r="D115" s="14" t="s">
        <v>182</v>
      </c>
      <c r="E115" s="39"/>
      <c r="F115" s="40"/>
      <c r="G115" s="39"/>
      <c r="H115" s="39"/>
      <c r="I115" s="41"/>
      <c r="J115" s="40"/>
      <c r="K115" s="40"/>
      <c r="L115" s="34"/>
      <c r="M115" s="107">
        <v>2512</v>
      </c>
      <c r="N115" s="147">
        <f t="shared" si="18"/>
        <v>0.010051660601695933</v>
      </c>
      <c r="O115" s="123">
        <v>2400</v>
      </c>
      <c r="P115" s="152">
        <f t="shared" si="20"/>
        <v>95.54140127388536</v>
      </c>
      <c r="Q115" s="151">
        <f t="shared" si="23"/>
        <v>0.010332961249139287</v>
      </c>
    </row>
    <row r="116" spans="1:17" s="11" customFormat="1" ht="12.75">
      <c r="A116" s="164"/>
      <c r="B116" s="163">
        <v>80110</v>
      </c>
      <c r="C116" s="9"/>
      <c r="D116" s="10" t="s">
        <v>110</v>
      </c>
      <c r="E116" s="33" t="e">
        <f>E117+#REF!+E118+E119+#REF!+E121+E120</f>
        <v>#REF!</v>
      </c>
      <c r="F116" s="33" t="e">
        <f>F117+#REF!+F118+F119+#REF!+F121+F120</f>
        <v>#REF!</v>
      </c>
      <c r="G116" s="33" t="e">
        <f>G117+#REF!+G118+G119+#REF!+G121+G120</f>
        <v>#REF!</v>
      </c>
      <c r="H116" s="33" t="e">
        <f>H117+#REF!+H118+H119+#REF!+H121+H120</f>
        <v>#REF!</v>
      </c>
      <c r="I116" s="41" t="e">
        <f aca="true" t="shared" si="26" ref="I116:I121">(H116/G116)*100</f>
        <v>#REF!</v>
      </c>
      <c r="J116" s="33" t="e">
        <f>#REF!+J117+#REF!+J118+J119+J120+J121</f>
        <v>#REF!</v>
      </c>
      <c r="K116" s="33" t="e">
        <f>#REF!+K117+#REF!+K118+K119+K120+K121</f>
        <v>#REF!</v>
      </c>
      <c r="L116" s="33" t="e">
        <f>#REF!+L117+#REF!+L118+L119+L120+L121</f>
        <v>#REF!</v>
      </c>
      <c r="M116" s="100">
        <f>M117+M118+M119+M120+M121</f>
        <v>112600</v>
      </c>
      <c r="N116" s="146">
        <f t="shared" si="18"/>
        <v>0.4505640858881218</v>
      </c>
      <c r="O116" s="121">
        <f>O117+O118+O119+O120+O121</f>
        <v>85397.12</v>
      </c>
      <c r="P116" s="152">
        <f t="shared" si="20"/>
        <v>75.84113676731793</v>
      </c>
      <c r="Q116" s="138">
        <f t="shared" si="23"/>
        <v>0.36766880489504067</v>
      </c>
    </row>
    <row r="117" spans="1:17" ht="56.25">
      <c r="A117" s="164"/>
      <c r="B117" s="164"/>
      <c r="C117" s="13" t="s">
        <v>24</v>
      </c>
      <c r="D117" s="14" t="s">
        <v>210</v>
      </c>
      <c r="E117" s="39">
        <v>1217.65</v>
      </c>
      <c r="F117" s="40">
        <v>1000</v>
      </c>
      <c r="G117" s="39">
        <v>1000</v>
      </c>
      <c r="H117" s="39">
        <v>773.11</v>
      </c>
      <c r="I117" s="41">
        <f t="shared" si="26"/>
        <v>77.31099999999999</v>
      </c>
      <c r="J117" s="40">
        <v>1000</v>
      </c>
      <c r="K117" s="40">
        <v>773.11</v>
      </c>
      <c r="L117" s="34">
        <f>K117/J117*100</f>
        <v>77.31099999999999</v>
      </c>
      <c r="M117" s="102">
        <v>1000</v>
      </c>
      <c r="N117" s="147">
        <f t="shared" si="18"/>
        <v>0.004001457245898062</v>
      </c>
      <c r="O117" s="123">
        <v>1000</v>
      </c>
      <c r="P117" s="152">
        <f t="shared" si="20"/>
        <v>100</v>
      </c>
      <c r="Q117" s="151">
        <f t="shared" si="23"/>
        <v>0.004305400520474703</v>
      </c>
    </row>
    <row r="118" spans="1:17" ht="12.75">
      <c r="A118" s="164"/>
      <c r="B118" s="166"/>
      <c r="C118" s="13" t="s">
        <v>41</v>
      </c>
      <c r="D118" s="14" t="s">
        <v>42</v>
      </c>
      <c r="E118" s="39">
        <v>173.15</v>
      </c>
      <c r="F118" s="40">
        <v>120</v>
      </c>
      <c r="G118" s="39">
        <v>120</v>
      </c>
      <c r="H118" s="39">
        <v>53.17</v>
      </c>
      <c r="I118" s="41">
        <f t="shared" si="26"/>
        <v>44.30833333333333</v>
      </c>
      <c r="J118" s="40">
        <v>120</v>
      </c>
      <c r="K118" s="40">
        <v>53.17</v>
      </c>
      <c r="L118" s="34">
        <f>K118/J118*100</f>
        <v>44.30833333333333</v>
      </c>
      <c r="M118" s="102">
        <v>1200</v>
      </c>
      <c r="N118" s="147">
        <f t="shared" si="18"/>
        <v>0.004801748695077675</v>
      </c>
      <c r="O118" s="123">
        <v>100</v>
      </c>
      <c r="P118" s="152">
        <f t="shared" si="20"/>
        <v>8.333333333333332</v>
      </c>
      <c r="Q118" s="151">
        <f>O118/$O$249*100</f>
        <v>0.0004305400520474703</v>
      </c>
    </row>
    <row r="119" spans="1:17" ht="12.75">
      <c r="A119" s="164"/>
      <c r="B119" s="166"/>
      <c r="C119" s="13" t="s">
        <v>16</v>
      </c>
      <c r="D119" s="14" t="s">
        <v>17</v>
      </c>
      <c r="E119" s="39">
        <v>35793.27</v>
      </c>
      <c r="F119" s="40">
        <v>500</v>
      </c>
      <c r="G119" s="39">
        <v>500</v>
      </c>
      <c r="H119" s="39">
        <v>283.26</v>
      </c>
      <c r="I119" s="41">
        <f t="shared" si="26"/>
        <v>56.652</v>
      </c>
      <c r="J119" s="40">
        <v>500</v>
      </c>
      <c r="K119" s="40">
        <v>283.26</v>
      </c>
      <c r="L119" s="34">
        <f>K119/J119*100</f>
        <v>56.652</v>
      </c>
      <c r="M119" s="102">
        <v>400</v>
      </c>
      <c r="N119" s="147">
        <f t="shared" si="18"/>
        <v>0.0016005828983592248</v>
      </c>
      <c r="O119" s="123">
        <v>400</v>
      </c>
      <c r="P119" s="152">
        <f t="shared" si="20"/>
        <v>100</v>
      </c>
      <c r="Q119" s="151">
        <f>O119/$O$249*100</f>
        <v>0.0017221602081898813</v>
      </c>
    </row>
    <row r="120" spans="1:17" ht="22.5">
      <c r="A120" s="164"/>
      <c r="B120" s="166"/>
      <c r="C120" s="13" t="s">
        <v>154</v>
      </c>
      <c r="D120" s="14" t="s">
        <v>127</v>
      </c>
      <c r="E120" s="39"/>
      <c r="F120" s="40"/>
      <c r="G120" s="39">
        <v>86633.7</v>
      </c>
      <c r="H120" s="39">
        <v>93500</v>
      </c>
      <c r="I120" s="41">
        <f t="shared" si="26"/>
        <v>107.9256686485744</v>
      </c>
      <c r="J120" s="40">
        <v>86633.7</v>
      </c>
      <c r="K120" s="40">
        <v>93500</v>
      </c>
      <c r="L120" s="34">
        <f>K120/J120*100</f>
        <v>107.9256686485744</v>
      </c>
      <c r="M120" s="102">
        <v>93500</v>
      </c>
      <c r="N120" s="147">
        <f t="shared" si="18"/>
        <v>0.3741362524914688</v>
      </c>
      <c r="O120" s="123">
        <v>71312.55</v>
      </c>
      <c r="P120" s="152">
        <f t="shared" si="20"/>
        <v>76.27010695187167</v>
      </c>
      <c r="Q120" s="151">
        <f aca="true" t="shared" si="27" ref="Q120:Q142">O120/$O$249*100</f>
        <v>0.30702908988637834</v>
      </c>
    </row>
    <row r="121" spans="1:17" ht="22.5">
      <c r="A121" s="164"/>
      <c r="B121" s="169"/>
      <c r="C121" s="13" t="s">
        <v>128</v>
      </c>
      <c r="D121" s="14" t="s">
        <v>127</v>
      </c>
      <c r="E121" s="39"/>
      <c r="F121" s="40"/>
      <c r="G121" s="39">
        <v>15288.3</v>
      </c>
      <c r="H121" s="39">
        <v>16500</v>
      </c>
      <c r="I121" s="41">
        <f t="shared" si="26"/>
        <v>107.9256686485744</v>
      </c>
      <c r="J121" s="40">
        <v>15288.3</v>
      </c>
      <c r="K121" s="40">
        <v>16500</v>
      </c>
      <c r="L121" s="34">
        <f>K121/J121*100</f>
        <v>107.9256686485744</v>
      </c>
      <c r="M121" s="102">
        <v>16500</v>
      </c>
      <c r="N121" s="147">
        <f t="shared" si="18"/>
        <v>0.06602404455731803</v>
      </c>
      <c r="O121" s="123">
        <v>12584.57</v>
      </c>
      <c r="P121" s="152">
        <f t="shared" si="20"/>
        <v>76.27012121212121</v>
      </c>
      <c r="Q121" s="151">
        <f t="shared" si="27"/>
        <v>0.054181614227950335</v>
      </c>
    </row>
    <row r="122" spans="1:17" s="11" customFormat="1" ht="21">
      <c r="A122" s="164"/>
      <c r="B122" s="163">
        <v>80114</v>
      </c>
      <c r="C122" s="9"/>
      <c r="D122" s="10" t="s">
        <v>201</v>
      </c>
      <c r="E122" s="33" t="e">
        <f>E123+E124+#REF!</f>
        <v>#REF!</v>
      </c>
      <c r="F122" s="33" t="e">
        <f>F123+F124+#REF!</f>
        <v>#REF!</v>
      </c>
      <c r="G122" s="33" t="e">
        <f>G123+G124+#REF!</f>
        <v>#REF!</v>
      </c>
      <c r="H122" s="33" t="e">
        <f>H123+H124+#REF!</f>
        <v>#REF!</v>
      </c>
      <c r="I122" s="33" t="e">
        <f>#REF!+I123+I124</f>
        <v>#REF!</v>
      </c>
      <c r="J122" s="33" t="e">
        <f>J123+J124+#REF!</f>
        <v>#REF!</v>
      </c>
      <c r="K122" s="33" t="e">
        <f>K123+K124+#REF!</f>
        <v>#REF!</v>
      </c>
      <c r="L122" s="33" t="e">
        <f>L123+L124+#REF!</f>
        <v>#REF!</v>
      </c>
      <c r="M122" s="100">
        <f>M123+M124</f>
        <v>930</v>
      </c>
      <c r="N122" s="146">
        <f t="shared" si="18"/>
        <v>0.0037213552386851975</v>
      </c>
      <c r="O122" s="121">
        <f>O123+O124</f>
        <v>1130</v>
      </c>
      <c r="P122" s="152">
        <f t="shared" si="20"/>
        <v>121.50537634408603</v>
      </c>
      <c r="Q122" s="138">
        <f t="shared" si="27"/>
        <v>0.004865102588136414</v>
      </c>
    </row>
    <row r="123" spans="1:17" ht="12.75">
      <c r="A123" s="164"/>
      <c r="B123" s="165"/>
      <c r="C123" s="13" t="s">
        <v>41</v>
      </c>
      <c r="D123" s="14" t="s">
        <v>42</v>
      </c>
      <c r="E123" s="39">
        <v>209.46</v>
      </c>
      <c r="F123" s="40">
        <v>250</v>
      </c>
      <c r="G123" s="39">
        <v>250</v>
      </c>
      <c r="H123" s="39">
        <v>147.16</v>
      </c>
      <c r="I123" s="41">
        <f aca="true" t="shared" si="28" ref="I123:I129">(H123/G123)*100</f>
        <v>58.864</v>
      </c>
      <c r="J123" s="40">
        <v>250</v>
      </c>
      <c r="K123" s="40">
        <v>147.16</v>
      </c>
      <c r="L123" s="34">
        <f>K123/J123*100</f>
        <v>58.864</v>
      </c>
      <c r="M123" s="102">
        <v>800</v>
      </c>
      <c r="N123" s="147">
        <f t="shared" si="18"/>
        <v>0.0032011657967184496</v>
      </c>
      <c r="O123" s="123">
        <v>1000</v>
      </c>
      <c r="P123" s="152">
        <f t="shared" si="20"/>
        <v>125</v>
      </c>
      <c r="Q123" s="151">
        <f t="shared" si="27"/>
        <v>0.004305400520474703</v>
      </c>
    </row>
    <row r="124" spans="1:17" ht="12.75">
      <c r="A124" s="164"/>
      <c r="B124" s="165"/>
      <c r="C124" s="13" t="s">
        <v>16</v>
      </c>
      <c r="D124" s="14" t="s">
        <v>17</v>
      </c>
      <c r="E124" s="39">
        <v>111.24</v>
      </c>
      <c r="F124" s="40">
        <v>130</v>
      </c>
      <c r="G124" s="39">
        <v>130</v>
      </c>
      <c r="H124" s="39">
        <v>79</v>
      </c>
      <c r="I124" s="41">
        <f t="shared" si="28"/>
        <v>60.76923076923077</v>
      </c>
      <c r="J124" s="40">
        <v>130</v>
      </c>
      <c r="K124" s="40">
        <v>79</v>
      </c>
      <c r="L124" s="34">
        <f>K124/J124*100</f>
        <v>60.76923076923077</v>
      </c>
      <c r="M124" s="102">
        <v>130</v>
      </c>
      <c r="N124" s="147">
        <f t="shared" si="18"/>
        <v>0.0005201894419667481</v>
      </c>
      <c r="O124" s="123">
        <v>130</v>
      </c>
      <c r="P124" s="152">
        <f t="shared" si="20"/>
        <v>100</v>
      </c>
      <c r="Q124" s="151">
        <f t="shared" si="27"/>
        <v>0.0005597020676617114</v>
      </c>
    </row>
    <row r="125" spans="1:17" s="11" customFormat="1" ht="12.75">
      <c r="A125" s="164"/>
      <c r="B125" s="163">
        <v>80130</v>
      </c>
      <c r="C125" s="9"/>
      <c r="D125" s="10" t="s">
        <v>111</v>
      </c>
      <c r="E125" s="33" t="e">
        <f>E126+E127+#REF!+E130+E128+E129</f>
        <v>#REF!</v>
      </c>
      <c r="F125" s="33" t="e">
        <f>F126+F127+#REF!+F130+F128+F129</f>
        <v>#REF!</v>
      </c>
      <c r="G125" s="33" t="e">
        <f>G126+G127+#REF!+G130+G128+G129</f>
        <v>#REF!</v>
      </c>
      <c r="H125" s="33" t="e">
        <f>H126+H127+#REF!+H130+H128+H129</f>
        <v>#REF!</v>
      </c>
      <c r="I125" s="41" t="e">
        <f t="shared" si="28"/>
        <v>#REF!</v>
      </c>
      <c r="J125" s="33" t="e">
        <f>J126+J127+#REF!+J130+J128+J129</f>
        <v>#REF!</v>
      </c>
      <c r="K125" s="33" t="e">
        <f>K126+K127+#REF!+K130+K128+K129</f>
        <v>#REF!</v>
      </c>
      <c r="L125" s="33" t="e">
        <f>L126+L127+#REF!+L130+L128+L129</f>
        <v>#REF!</v>
      </c>
      <c r="M125" s="100">
        <f>M126+M127+M130+M128+M129</f>
        <v>1729678.44</v>
      </c>
      <c r="N125" s="146">
        <f t="shared" si="18"/>
        <v>6.921234326811657</v>
      </c>
      <c r="O125" s="121">
        <f>O126+O127+O130+O128+O129</f>
        <v>285255.57</v>
      </c>
      <c r="P125" s="152">
        <f t="shared" si="20"/>
        <v>16.491826654207472</v>
      </c>
      <c r="Q125" s="138">
        <f t="shared" si="27"/>
        <v>1.228139479546308</v>
      </c>
    </row>
    <row r="126" spans="1:17" ht="12.75">
      <c r="A126" s="164"/>
      <c r="B126" s="164"/>
      <c r="C126" s="13" t="s">
        <v>41</v>
      </c>
      <c r="D126" s="14" t="s">
        <v>42</v>
      </c>
      <c r="E126" s="39">
        <v>39.74</v>
      </c>
      <c r="F126" s="40">
        <v>60</v>
      </c>
      <c r="G126" s="39">
        <v>60</v>
      </c>
      <c r="H126" s="39">
        <v>33.14</v>
      </c>
      <c r="I126" s="41">
        <f t="shared" si="28"/>
        <v>55.233333333333334</v>
      </c>
      <c r="J126" s="40">
        <v>60</v>
      </c>
      <c r="K126" s="40">
        <v>33.14</v>
      </c>
      <c r="L126" s="34">
        <f>K126/J126*100</f>
        <v>55.233333333333334</v>
      </c>
      <c r="M126" s="102">
        <v>60</v>
      </c>
      <c r="N126" s="147">
        <f t="shared" si="18"/>
        <v>0.00024008743475388374</v>
      </c>
      <c r="O126" s="123">
        <v>50</v>
      </c>
      <c r="P126" s="152">
        <f t="shared" si="20"/>
        <v>83.33333333333334</v>
      </c>
      <c r="Q126" s="151">
        <f t="shared" si="27"/>
        <v>0.00021527002602373516</v>
      </c>
    </row>
    <row r="127" spans="1:17" ht="12.75">
      <c r="A127" s="165"/>
      <c r="B127" s="165"/>
      <c r="C127" s="13" t="s">
        <v>16</v>
      </c>
      <c r="D127" s="14" t="str">
        <f>D124</f>
        <v>Wpływy z różnych dochodów</v>
      </c>
      <c r="E127" s="39">
        <v>150.7</v>
      </c>
      <c r="F127" s="40">
        <v>200</v>
      </c>
      <c r="G127" s="39">
        <v>200</v>
      </c>
      <c r="H127" s="39">
        <v>102.16</v>
      </c>
      <c r="I127" s="41">
        <f t="shared" si="28"/>
        <v>51.080000000000005</v>
      </c>
      <c r="J127" s="40">
        <v>200</v>
      </c>
      <c r="K127" s="40">
        <v>102.16</v>
      </c>
      <c r="L127" s="34">
        <f>K127/J127*100</f>
        <v>51.080000000000005</v>
      </c>
      <c r="M127" s="102">
        <v>200</v>
      </c>
      <c r="N127" s="147">
        <f t="shared" si="18"/>
        <v>0.0008002914491796124</v>
      </c>
      <c r="O127" s="123">
        <v>150</v>
      </c>
      <c r="P127" s="152">
        <f t="shared" si="20"/>
        <v>75</v>
      </c>
      <c r="Q127" s="151">
        <f t="shared" si="27"/>
        <v>0.0006458100780712055</v>
      </c>
    </row>
    <row r="128" spans="1:17" ht="22.5">
      <c r="A128" s="165"/>
      <c r="B128" s="165"/>
      <c r="C128" s="13" t="s">
        <v>154</v>
      </c>
      <c r="D128" s="14" t="s">
        <v>127</v>
      </c>
      <c r="E128" s="39"/>
      <c r="F128" s="40"/>
      <c r="G128" s="39">
        <v>119000</v>
      </c>
      <c r="H128" s="39">
        <v>119000</v>
      </c>
      <c r="I128" s="41">
        <f t="shared" si="28"/>
        <v>100</v>
      </c>
      <c r="J128" s="40">
        <v>119000</v>
      </c>
      <c r="K128" s="40">
        <v>119000</v>
      </c>
      <c r="L128" s="34">
        <f>K128/J128*100</f>
        <v>100</v>
      </c>
      <c r="M128" s="102">
        <v>119000</v>
      </c>
      <c r="N128" s="147">
        <f t="shared" si="18"/>
        <v>0.4761734122618694</v>
      </c>
      <c r="O128" s="123">
        <v>242297.24</v>
      </c>
      <c r="P128" s="152">
        <f t="shared" si="20"/>
        <v>203.61112605042018</v>
      </c>
      <c r="Q128" s="151">
        <f t="shared" si="27"/>
        <v>1.043186663205584</v>
      </c>
    </row>
    <row r="129" spans="1:17" ht="22.5">
      <c r="A129" s="165"/>
      <c r="B129" s="165"/>
      <c r="C129" s="13" t="s">
        <v>128</v>
      </c>
      <c r="D129" s="14" t="s">
        <v>127</v>
      </c>
      <c r="E129" s="39"/>
      <c r="F129" s="40"/>
      <c r="G129" s="39">
        <v>21000</v>
      </c>
      <c r="H129" s="39">
        <v>21000</v>
      </c>
      <c r="I129" s="41">
        <f t="shared" si="28"/>
        <v>100</v>
      </c>
      <c r="J129" s="40">
        <v>21000</v>
      </c>
      <c r="K129" s="40">
        <v>21000</v>
      </c>
      <c r="L129" s="34">
        <f>K129/J129*100</f>
        <v>100</v>
      </c>
      <c r="M129" s="102">
        <v>21000</v>
      </c>
      <c r="N129" s="147">
        <f t="shared" si="18"/>
        <v>0.08403060216385931</v>
      </c>
      <c r="O129" s="123">
        <v>42758.33</v>
      </c>
      <c r="P129" s="152">
        <f t="shared" si="20"/>
        <v>203.61109523809526</v>
      </c>
      <c r="Q129" s="151">
        <f t="shared" si="27"/>
        <v>0.1840917362366291</v>
      </c>
    </row>
    <row r="130" spans="1:17" ht="33.75">
      <c r="A130" s="165"/>
      <c r="B130" s="167"/>
      <c r="C130" s="13" t="s">
        <v>159</v>
      </c>
      <c r="D130" s="14" t="s">
        <v>58</v>
      </c>
      <c r="E130" s="39">
        <v>337336.15</v>
      </c>
      <c r="F130" s="40">
        <v>1808722.95</v>
      </c>
      <c r="G130" s="39">
        <v>1808722.95</v>
      </c>
      <c r="H130" s="39">
        <v>1045940.29</v>
      </c>
      <c r="I130" s="41"/>
      <c r="J130" s="40">
        <v>1808722.95</v>
      </c>
      <c r="K130" s="40">
        <v>1045940.29</v>
      </c>
      <c r="L130" s="34">
        <f>K130/J130*100</f>
        <v>57.8275567300122</v>
      </c>
      <c r="M130" s="102">
        <v>1589418.44</v>
      </c>
      <c r="N130" s="147">
        <f t="shared" si="18"/>
        <v>6.3599899335019945</v>
      </c>
      <c r="O130" s="123"/>
      <c r="P130" s="152">
        <f t="shared" si="20"/>
        <v>0</v>
      </c>
      <c r="Q130" s="151">
        <f t="shared" si="27"/>
        <v>0</v>
      </c>
    </row>
    <row r="131" spans="1:17" ht="12.75">
      <c r="A131" s="165"/>
      <c r="B131" s="70"/>
      <c r="C131" s="13"/>
      <c r="D131" s="14" t="s">
        <v>235</v>
      </c>
      <c r="E131" s="39"/>
      <c r="F131" s="40"/>
      <c r="G131" s="39"/>
      <c r="H131" s="39"/>
      <c r="I131" s="41"/>
      <c r="J131" s="40"/>
      <c r="K131" s="40"/>
      <c r="L131" s="34"/>
      <c r="M131" s="102">
        <v>1589418.44</v>
      </c>
      <c r="N131" s="147">
        <f t="shared" si="18"/>
        <v>6.3599899335019945</v>
      </c>
      <c r="O131" s="123"/>
      <c r="P131" s="152">
        <f t="shared" si="20"/>
        <v>0</v>
      </c>
      <c r="Q131" s="151">
        <f t="shared" si="27"/>
        <v>0</v>
      </c>
    </row>
    <row r="132" spans="1:17" s="11" customFormat="1" ht="12.75">
      <c r="A132" s="165"/>
      <c r="B132" s="159">
        <v>80195</v>
      </c>
      <c r="C132" s="9"/>
      <c r="D132" s="10" t="s">
        <v>19</v>
      </c>
      <c r="E132" s="33">
        <f>E134+E133</f>
        <v>279</v>
      </c>
      <c r="F132" s="33">
        <f>F134+F133</f>
        <v>0</v>
      </c>
      <c r="G132" s="33">
        <f>G134+G133</f>
        <v>0</v>
      </c>
      <c r="H132" s="33">
        <f>H134+H133</f>
        <v>0</v>
      </c>
      <c r="I132" s="33" t="e">
        <f>I134+I133</f>
        <v>#DIV/0!</v>
      </c>
      <c r="J132" s="33">
        <f>J133+J134</f>
        <v>1320</v>
      </c>
      <c r="K132" s="33">
        <f>K133+K134</f>
        <v>1320</v>
      </c>
      <c r="L132" s="33" t="e">
        <f>L133+L134</f>
        <v>#DIV/0!</v>
      </c>
      <c r="M132" s="100">
        <f>M133+M134</f>
        <v>1320</v>
      </c>
      <c r="N132" s="146">
        <f t="shared" si="18"/>
        <v>0.005281923564585443</v>
      </c>
      <c r="O132" s="121">
        <f>O134+O133</f>
        <v>0</v>
      </c>
      <c r="P132" s="152">
        <f t="shared" si="20"/>
        <v>0</v>
      </c>
      <c r="Q132" s="138">
        <f t="shared" si="27"/>
        <v>0</v>
      </c>
    </row>
    <row r="133" spans="1:17" s="16" customFormat="1" ht="15.75" customHeight="1">
      <c r="A133" s="165"/>
      <c r="B133" s="166"/>
      <c r="C133" s="13" t="s">
        <v>16</v>
      </c>
      <c r="D133" s="14" t="s">
        <v>17</v>
      </c>
      <c r="E133" s="40"/>
      <c r="F133" s="40"/>
      <c r="G133" s="40"/>
      <c r="H133" s="40"/>
      <c r="I133" s="41"/>
      <c r="J133" s="40"/>
      <c r="K133" s="40"/>
      <c r="L133" s="34" t="e">
        <f>K133/J133*100</f>
        <v>#DIV/0!</v>
      </c>
      <c r="M133" s="100">
        <v>0</v>
      </c>
      <c r="N133" s="146">
        <f aca="true" t="shared" si="29" ref="N133:N196">M133/$M$249*100</f>
        <v>0</v>
      </c>
      <c r="O133" s="128"/>
      <c r="P133" s="152"/>
      <c r="Q133" s="151">
        <f t="shared" si="27"/>
        <v>0</v>
      </c>
    </row>
    <row r="134" spans="1:17" ht="22.5">
      <c r="A134" s="165"/>
      <c r="B134" s="166"/>
      <c r="C134" s="13" t="s">
        <v>108</v>
      </c>
      <c r="D134" s="14" t="s">
        <v>121</v>
      </c>
      <c r="E134" s="39">
        <v>279</v>
      </c>
      <c r="F134" s="40"/>
      <c r="G134" s="39"/>
      <c r="H134" s="39"/>
      <c r="I134" s="41" t="e">
        <f>(H134/G134)*100</f>
        <v>#DIV/0!</v>
      </c>
      <c r="J134" s="40">
        <v>1320</v>
      </c>
      <c r="K134" s="40">
        <v>1320</v>
      </c>
      <c r="L134" s="34">
        <f>K134/J134*100</f>
        <v>100</v>
      </c>
      <c r="M134" s="102">
        <v>1320</v>
      </c>
      <c r="N134" s="147">
        <f t="shared" si="29"/>
        <v>0.005281923564585443</v>
      </c>
      <c r="O134" s="123"/>
      <c r="P134" s="152">
        <f t="shared" si="20"/>
        <v>0</v>
      </c>
      <c r="Q134" s="151">
        <f t="shared" si="27"/>
        <v>0</v>
      </c>
    </row>
    <row r="135" spans="1:17" s="11" customFormat="1" ht="12.75">
      <c r="A135" s="170">
        <v>851</v>
      </c>
      <c r="B135" s="9"/>
      <c r="C135" s="9"/>
      <c r="D135" s="10" t="s">
        <v>112</v>
      </c>
      <c r="E135" s="33" t="e">
        <f>#REF!+E136</f>
        <v>#REF!</v>
      </c>
      <c r="F135" s="33" t="e">
        <f>#REF!+F136</f>
        <v>#REF!</v>
      </c>
      <c r="G135" s="33" t="e">
        <f>#REF!+G136</f>
        <v>#REF!</v>
      </c>
      <c r="H135" s="33" t="e">
        <f>#REF!+H136</f>
        <v>#REF!</v>
      </c>
      <c r="I135" s="34" t="e">
        <f>(H135/G135)*100</f>
        <v>#REF!</v>
      </c>
      <c r="J135" s="33" t="e">
        <f>#REF!+J136</f>
        <v>#REF!</v>
      </c>
      <c r="K135" s="33" t="e">
        <f>#REF!+K136</f>
        <v>#REF!</v>
      </c>
      <c r="L135" s="33" t="e">
        <f>#REF!+L136</f>
        <v>#REF!</v>
      </c>
      <c r="M135" s="100">
        <f>M136</f>
        <v>360</v>
      </c>
      <c r="N135" s="146">
        <f t="shared" si="29"/>
        <v>0.0014405246085233024</v>
      </c>
      <c r="O135" s="121">
        <f>O136</f>
        <v>399</v>
      </c>
      <c r="P135" s="152">
        <f t="shared" si="20"/>
        <v>110.83333333333334</v>
      </c>
      <c r="Q135" s="138">
        <f>O135/$O$249*100</f>
        <v>0.0017178548076694066</v>
      </c>
    </row>
    <row r="136" spans="1:17" s="11" customFormat="1" ht="12.75">
      <c r="A136" s="156"/>
      <c r="B136" s="163" t="s">
        <v>113</v>
      </c>
      <c r="C136" s="9"/>
      <c r="D136" s="10" t="s">
        <v>114</v>
      </c>
      <c r="E136" s="33">
        <f>E137</f>
        <v>210</v>
      </c>
      <c r="F136" s="33">
        <f>F137</f>
        <v>0</v>
      </c>
      <c r="G136" s="33">
        <f>G137</f>
        <v>360</v>
      </c>
      <c r="H136" s="33">
        <f>H137</f>
        <v>300</v>
      </c>
      <c r="I136" s="34">
        <f>(H136/G136)*100</f>
        <v>83.33333333333334</v>
      </c>
      <c r="J136" s="33">
        <f>J137</f>
        <v>360</v>
      </c>
      <c r="K136" s="33">
        <f>K137</f>
        <v>300</v>
      </c>
      <c r="L136" s="34">
        <f>K136/J136*100</f>
        <v>83.33333333333334</v>
      </c>
      <c r="M136" s="100">
        <f>M137</f>
        <v>360</v>
      </c>
      <c r="N136" s="146">
        <f t="shared" si="29"/>
        <v>0.0014405246085233024</v>
      </c>
      <c r="O136" s="121">
        <f>O137</f>
        <v>399</v>
      </c>
      <c r="P136" s="152">
        <f aca="true" t="shared" si="30" ref="P136:P199">(O136/M136)*100</f>
        <v>110.83333333333334</v>
      </c>
      <c r="Q136" s="138">
        <f t="shared" si="27"/>
        <v>0.0017178548076694066</v>
      </c>
    </row>
    <row r="137" spans="1:17" ht="24" customHeight="1">
      <c r="A137" s="156"/>
      <c r="B137" s="169"/>
      <c r="C137" s="13" t="s">
        <v>20</v>
      </c>
      <c r="D137" s="14" t="s">
        <v>193</v>
      </c>
      <c r="E137" s="39">
        <v>210</v>
      </c>
      <c r="F137" s="40"/>
      <c r="G137" s="39">
        <v>360</v>
      </c>
      <c r="H137" s="39">
        <v>300</v>
      </c>
      <c r="I137" s="34">
        <f>(H137/G137)*100</f>
        <v>83.33333333333334</v>
      </c>
      <c r="J137" s="40">
        <v>360</v>
      </c>
      <c r="K137" s="40">
        <v>300</v>
      </c>
      <c r="L137" s="41">
        <f>K137/J137*100</f>
        <v>83.33333333333334</v>
      </c>
      <c r="M137" s="102">
        <v>360</v>
      </c>
      <c r="N137" s="147">
        <f t="shared" si="29"/>
        <v>0.0014405246085233024</v>
      </c>
      <c r="O137" s="123">
        <v>399</v>
      </c>
      <c r="P137" s="152">
        <f t="shared" si="30"/>
        <v>110.83333333333334</v>
      </c>
      <c r="Q137" s="151">
        <f t="shared" si="27"/>
        <v>0.0017178548076694066</v>
      </c>
    </row>
    <row r="138" spans="1:17" s="11" customFormat="1" ht="12.75">
      <c r="A138" s="170">
        <v>852</v>
      </c>
      <c r="B138" s="9"/>
      <c r="C138" s="9"/>
      <c r="D138" s="10" t="s">
        <v>115</v>
      </c>
      <c r="E138" s="33" t="e">
        <f>E147+E153+E157+E162+E167+E170+#REF!+E139+E160+E144</f>
        <v>#REF!</v>
      </c>
      <c r="F138" s="33" t="e">
        <f>F147+F153+F157+F162+F167+F170+#REF!+F139+F160+F144</f>
        <v>#REF!</v>
      </c>
      <c r="G138" s="33" t="e">
        <f>G147+G153+G157+G162+G167+G170+#REF!+G139+G160+G144</f>
        <v>#REF!</v>
      </c>
      <c r="H138" s="33" t="e">
        <f>H147+H153+H157+H162+H167+H170+#REF!+H139+H160+H144</f>
        <v>#REF!</v>
      </c>
      <c r="I138" s="33" t="e">
        <f>I147+I153+I157+I162+I167+I170+#REF!+I139+I160+I144</f>
        <v>#REF!</v>
      </c>
      <c r="J138" s="33" t="e">
        <f>J147+J153+J157+J162+J167+J170+#REF!+J139+J160+J144</f>
        <v>#REF!</v>
      </c>
      <c r="K138" s="33" t="e">
        <f>K147+K153+K157+K162+K167+K170+#REF!+K139+K160+K144</f>
        <v>#REF!</v>
      </c>
      <c r="L138" s="33" t="e">
        <f>L147+L153+L157+L162+L167+L170+#REF!+L139+L160+L144</f>
        <v>#REF!</v>
      </c>
      <c r="M138" s="100">
        <f>M147+M153+M157+M162+M167+M170+M139+M160+M144</f>
        <v>3496319</v>
      </c>
      <c r="N138" s="146">
        <f t="shared" si="29"/>
        <v>13.990370996521067</v>
      </c>
      <c r="O138" s="121">
        <f>O147+O153+O157+O162+O167+O170+O139+O160+O144</f>
        <v>3311933</v>
      </c>
      <c r="P138" s="152">
        <f t="shared" si="30"/>
        <v>94.72628212700272</v>
      </c>
      <c r="Q138" s="138">
        <f t="shared" si="27"/>
        <v>14.259198061977344</v>
      </c>
    </row>
    <row r="139" spans="1:17" s="11" customFormat="1" ht="12.75">
      <c r="A139" s="170"/>
      <c r="B139" s="163" t="s">
        <v>116</v>
      </c>
      <c r="C139" s="9"/>
      <c r="D139" s="10" t="s">
        <v>117</v>
      </c>
      <c r="E139" s="33">
        <f aca="true" t="shared" si="31" ref="E139:O139">E140+E143+E141+E142</f>
        <v>12758.46</v>
      </c>
      <c r="F139" s="33">
        <f t="shared" si="31"/>
        <v>2370</v>
      </c>
      <c r="G139" s="33">
        <f t="shared" si="31"/>
        <v>4070</v>
      </c>
      <c r="H139" s="33">
        <f t="shared" si="31"/>
        <v>15749.740000000002</v>
      </c>
      <c r="I139" s="33" t="e">
        <f t="shared" si="31"/>
        <v>#DIV/0!</v>
      </c>
      <c r="J139" s="33">
        <f t="shared" si="31"/>
        <v>4070</v>
      </c>
      <c r="K139" s="33">
        <f t="shared" si="31"/>
        <v>15749.740000000002</v>
      </c>
      <c r="L139" s="33" t="e">
        <f t="shared" si="31"/>
        <v>#DIV/0!</v>
      </c>
      <c r="M139" s="100">
        <f>M140+M143+M141+M142</f>
        <v>19803</v>
      </c>
      <c r="N139" s="146">
        <f t="shared" si="29"/>
        <v>0.07924085784051933</v>
      </c>
      <c r="O139" s="121">
        <f t="shared" si="31"/>
        <v>20352</v>
      </c>
      <c r="P139" s="152">
        <f t="shared" si="30"/>
        <v>102.77230722617784</v>
      </c>
      <c r="Q139" s="138">
        <f t="shared" si="27"/>
        <v>0.08762351139270115</v>
      </c>
    </row>
    <row r="140" spans="1:17" s="16" customFormat="1" ht="12.75">
      <c r="A140" s="170"/>
      <c r="B140" s="164"/>
      <c r="C140" s="13" t="s">
        <v>10</v>
      </c>
      <c r="D140" s="14" t="s">
        <v>11</v>
      </c>
      <c r="E140" s="40">
        <v>8.8</v>
      </c>
      <c r="F140" s="40"/>
      <c r="G140" s="40"/>
      <c r="H140" s="40">
        <v>26.4</v>
      </c>
      <c r="I140" s="34" t="e">
        <f>(H140/G140)*100</f>
        <v>#DIV/0!</v>
      </c>
      <c r="J140" s="35"/>
      <c r="K140" s="35">
        <v>26.4</v>
      </c>
      <c r="L140" s="34" t="e">
        <f>K140/J140*100</f>
        <v>#DIV/0!</v>
      </c>
      <c r="M140" s="102">
        <v>35</v>
      </c>
      <c r="N140" s="147">
        <f t="shared" si="29"/>
        <v>0.00014005100360643216</v>
      </c>
      <c r="O140" s="128">
        <v>50</v>
      </c>
      <c r="P140" s="152">
        <f t="shared" si="30"/>
        <v>142.85714285714286</v>
      </c>
      <c r="Q140" s="151">
        <f t="shared" si="27"/>
        <v>0.00021527002602373516</v>
      </c>
    </row>
    <row r="141" spans="1:17" s="16" customFormat="1" ht="12.75">
      <c r="A141" s="170"/>
      <c r="B141" s="164"/>
      <c r="C141" s="13" t="s">
        <v>52</v>
      </c>
      <c r="D141" s="14" t="s">
        <v>53</v>
      </c>
      <c r="E141" s="40">
        <v>10426.66</v>
      </c>
      <c r="F141" s="40"/>
      <c r="G141" s="40"/>
      <c r="H141" s="40">
        <v>12128.37</v>
      </c>
      <c r="I141" s="34"/>
      <c r="J141" s="35"/>
      <c r="K141" s="35">
        <v>12128.37</v>
      </c>
      <c r="L141" s="37"/>
      <c r="M141" s="102">
        <v>16173</v>
      </c>
      <c r="N141" s="147">
        <f t="shared" si="29"/>
        <v>0.06471556803790936</v>
      </c>
      <c r="O141" s="128">
        <v>16610</v>
      </c>
      <c r="P141" s="152">
        <f t="shared" si="30"/>
        <v>102.70203425462189</v>
      </c>
      <c r="Q141" s="151">
        <f t="shared" si="27"/>
        <v>0.07151270264508482</v>
      </c>
    </row>
    <row r="142" spans="1:17" s="16" customFormat="1" ht="12.75">
      <c r="A142" s="170"/>
      <c r="B142" s="164"/>
      <c r="C142" s="13" t="s">
        <v>41</v>
      </c>
      <c r="D142" s="14" t="s">
        <v>42</v>
      </c>
      <c r="E142" s="40">
        <v>515.3</v>
      </c>
      <c r="F142" s="40">
        <v>410</v>
      </c>
      <c r="G142" s="40">
        <v>810</v>
      </c>
      <c r="H142" s="40">
        <v>713.61</v>
      </c>
      <c r="I142" s="34"/>
      <c r="J142" s="35">
        <v>810</v>
      </c>
      <c r="K142" s="35">
        <v>713.61</v>
      </c>
      <c r="L142" s="37"/>
      <c r="M142" s="102">
        <v>714</v>
      </c>
      <c r="N142" s="147">
        <f t="shared" si="29"/>
        <v>0.0028570404735712165</v>
      </c>
      <c r="O142" s="128">
        <v>733</v>
      </c>
      <c r="P142" s="152">
        <f t="shared" si="30"/>
        <v>102.66106442577029</v>
      </c>
      <c r="Q142" s="151">
        <f t="shared" si="27"/>
        <v>0.003155858581507957</v>
      </c>
    </row>
    <row r="143" spans="1:17" s="16" customFormat="1" ht="12.75">
      <c r="A143" s="170"/>
      <c r="B143" s="164"/>
      <c r="C143" s="13" t="s">
        <v>16</v>
      </c>
      <c r="D143" s="14" t="s">
        <v>17</v>
      </c>
      <c r="E143" s="40">
        <v>1807.7</v>
      </c>
      <c r="F143" s="40">
        <v>1960</v>
      </c>
      <c r="G143" s="40">
        <v>3260</v>
      </c>
      <c r="H143" s="40">
        <v>2881.36</v>
      </c>
      <c r="I143" s="34">
        <f>(H143/G143)*100</f>
        <v>88.38527607361964</v>
      </c>
      <c r="J143" s="35">
        <v>3260</v>
      </c>
      <c r="K143" s="35">
        <v>2881.36</v>
      </c>
      <c r="L143" s="37">
        <f>K143/J143*100</f>
        <v>88.38527607361964</v>
      </c>
      <c r="M143" s="102">
        <v>2881</v>
      </c>
      <c r="N143" s="147">
        <f t="shared" si="29"/>
        <v>0.011528198325432316</v>
      </c>
      <c r="O143" s="128">
        <v>2959</v>
      </c>
      <c r="P143" s="152">
        <f t="shared" si="30"/>
        <v>102.707393266227</v>
      </c>
      <c r="Q143" s="151">
        <f>O143/$O$249*100</f>
        <v>0.012739680140084645</v>
      </c>
    </row>
    <row r="144" spans="1:17" s="16" customFormat="1" ht="12.75">
      <c r="A144" s="170"/>
      <c r="B144" s="163" t="s">
        <v>177</v>
      </c>
      <c r="C144" s="9"/>
      <c r="D144" s="10" t="s">
        <v>184</v>
      </c>
      <c r="E144" s="33">
        <f aca="true" t="shared" si="32" ref="E144:O144">E145+E146</f>
        <v>0</v>
      </c>
      <c r="F144" s="33">
        <f t="shared" si="32"/>
        <v>0</v>
      </c>
      <c r="G144" s="33">
        <f t="shared" si="32"/>
        <v>12215</v>
      </c>
      <c r="H144" s="33">
        <f t="shared" si="32"/>
        <v>12231.01</v>
      </c>
      <c r="I144" s="33">
        <f t="shared" si="32"/>
        <v>0</v>
      </c>
      <c r="J144" s="33">
        <f t="shared" si="32"/>
        <v>12215</v>
      </c>
      <c r="K144" s="33">
        <f t="shared" si="32"/>
        <v>12231.01</v>
      </c>
      <c r="L144" s="33">
        <f t="shared" si="32"/>
        <v>0</v>
      </c>
      <c r="M144" s="100">
        <f>M145+M146</f>
        <v>12235</v>
      </c>
      <c r="N144" s="146">
        <f t="shared" si="29"/>
        <v>0.048957829403562796</v>
      </c>
      <c r="O144" s="121">
        <f t="shared" si="32"/>
        <v>20</v>
      </c>
      <c r="P144" s="152">
        <f t="shared" si="30"/>
        <v>0.1634654679199019</v>
      </c>
      <c r="Q144" s="138">
        <f aca="true" t="shared" si="33" ref="Q144:Q165">O144/$O$249*100</f>
        <v>8.610801040949406E-05</v>
      </c>
    </row>
    <row r="145" spans="1:17" s="16" customFormat="1" ht="12.75">
      <c r="A145" s="170"/>
      <c r="B145" s="164"/>
      <c r="C145" s="13" t="s">
        <v>41</v>
      </c>
      <c r="D145" s="14" t="s">
        <v>118</v>
      </c>
      <c r="E145" s="40"/>
      <c r="F145" s="40"/>
      <c r="G145" s="40"/>
      <c r="H145" s="40">
        <v>16.01</v>
      </c>
      <c r="I145" s="34"/>
      <c r="J145" s="35"/>
      <c r="K145" s="35">
        <v>16.01</v>
      </c>
      <c r="L145" s="37"/>
      <c r="M145" s="102">
        <v>20</v>
      </c>
      <c r="N145" s="147">
        <f t="shared" si="29"/>
        <v>8.002914491796125E-05</v>
      </c>
      <c r="O145" s="128">
        <v>20</v>
      </c>
      <c r="P145" s="152">
        <f t="shared" si="30"/>
        <v>100</v>
      </c>
      <c r="Q145" s="151">
        <f t="shared" si="33"/>
        <v>8.610801040949406E-05</v>
      </c>
    </row>
    <row r="146" spans="1:17" s="16" customFormat="1" ht="22.5">
      <c r="A146" s="170"/>
      <c r="B146" s="180"/>
      <c r="C146" s="13" t="s">
        <v>108</v>
      </c>
      <c r="D146" s="14" t="s">
        <v>121</v>
      </c>
      <c r="E146" s="40"/>
      <c r="F146" s="40"/>
      <c r="G146" s="40">
        <v>12215</v>
      </c>
      <c r="H146" s="40">
        <v>12215</v>
      </c>
      <c r="I146" s="34"/>
      <c r="J146" s="35">
        <v>12215</v>
      </c>
      <c r="K146" s="35">
        <v>12215</v>
      </c>
      <c r="L146" s="37"/>
      <c r="M146" s="102">
        <v>12215</v>
      </c>
      <c r="N146" s="147">
        <f t="shared" si="29"/>
        <v>0.048877800258644834</v>
      </c>
      <c r="O146" s="128"/>
      <c r="P146" s="152">
        <f t="shared" si="30"/>
        <v>0</v>
      </c>
      <c r="Q146" s="151">
        <f t="shared" si="33"/>
        <v>0</v>
      </c>
    </row>
    <row r="147" spans="1:17" s="11" customFormat="1" ht="24" customHeight="1">
      <c r="A147" s="176"/>
      <c r="B147" s="163">
        <v>85212</v>
      </c>
      <c r="C147" s="9"/>
      <c r="D147" s="29" t="s">
        <v>230</v>
      </c>
      <c r="E147" s="33" t="e">
        <f>E149+E150+E152+#REF!+E148+E151</f>
        <v>#REF!</v>
      </c>
      <c r="F147" s="33" t="e">
        <f>F149+F150+F152+#REF!+F148+F151</f>
        <v>#REF!</v>
      </c>
      <c r="G147" s="33" t="e">
        <f>G149+G150+G152+#REF!+G148+G151</f>
        <v>#REF!</v>
      </c>
      <c r="H147" s="33" t="e">
        <f>H149+H150+H152+#REF!+H148+H151</f>
        <v>#REF!</v>
      </c>
      <c r="I147" s="34" t="e">
        <f aca="true" t="shared" si="34" ref="I147:I152">(H147/G147)*100</f>
        <v>#REF!</v>
      </c>
      <c r="J147" s="33" t="e">
        <f>J148+J149+J150+J151+J152+#REF!</f>
        <v>#REF!</v>
      </c>
      <c r="K147" s="33" t="e">
        <f>K148+K149+K150+K151+K152+#REF!</f>
        <v>#REF!</v>
      </c>
      <c r="L147" s="33" t="e">
        <f>L148+L149+L150+L151+L152+#REF!</f>
        <v>#REF!</v>
      </c>
      <c r="M147" s="100">
        <f>M148+M149+M150+M151+M152</f>
        <v>2881179</v>
      </c>
      <c r="N147" s="146">
        <f t="shared" si="29"/>
        <v>11.528914586279333</v>
      </c>
      <c r="O147" s="121">
        <f>O148+O149+O150+O151+O152</f>
        <v>2915596</v>
      </c>
      <c r="P147" s="152">
        <f t="shared" si="30"/>
        <v>101.1945457050742</v>
      </c>
      <c r="Q147" s="138">
        <f t="shared" si="33"/>
        <v>12.552808535893961</v>
      </c>
    </row>
    <row r="148" spans="1:17" s="11" customFormat="1" ht="16.5" customHeight="1">
      <c r="A148" s="176"/>
      <c r="B148" s="164"/>
      <c r="C148" s="13" t="s">
        <v>10</v>
      </c>
      <c r="D148" s="14" t="s">
        <v>11</v>
      </c>
      <c r="E148" s="40">
        <v>158.4</v>
      </c>
      <c r="F148" s="40">
        <v>190</v>
      </c>
      <c r="G148" s="40">
        <v>190</v>
      </c>
      <c r="H148" s="40">
        <v>211.2</v>
      </c>
      <c r="I148" s="34">
        <f t="shared" si="34"/>
        <v>111.1578947368421</v>
      </c>
      <c r="J148" s="35">
        <v>190</v>
      </c>
      <c r="K148" s="35">
        <v>211.2</v>
      </c>
      <c r="L148" s="37">
        <f>K148/J148*100</f>
        <v>111.1578947368421</v>
      </c>
      <c r="M148" s="102">
        <v>250</v>
      </c>
      <c r="N148" s="147">
        <f t="shared" si="29"/>
        <v>0.0010003643114745156</v>
      </c>
      <c r="O148" s="128">
        <v>300</v>
      </c>
      <c r="P148" s="152">
        <f t="shared" si="30"/>
        <v>120</v>
      </c>
      <c r="Q148" s="138">
        <f t="shared" si="33"/>
        <v>0.001291620156142411</v>
      </c>
    </row>
    <row r="149" spans="1:17" ht="12.75">
      <c r="A149" s="176"/>
      <c r="B149" s="166"/>
      <c r="C149" s="13" t="s">
        <v>41</v>
      </c>
      <c r="D149" s="14" t="s">
        <v>118</v>
      </c>
      <c r="E149" s="39">
        <v>3.17</v>
      </c>
      <c r="F149" s="40">
        <v>6</v>
      </c>
      <c r="G149" s="39">
        <v>6</v>
      </c>
      <c r="H149" s="39">
        <v>2.64</v>
      </c>
      <c r="I149" s="34">
        <f t="shared" si="34"/>
        <v>44</v>
      </c>
      <c r="J149" s="35">
        <v>6</v>
      </c>
      <c r="K149" s="35">
        <v>2.64</v>
      </c>
      <c r="L149" s="37">
        <f>K149/J149*100</f>
        <v>44</v>
      </c>
      <c r="M149" s="102">
        <v>6</v>
      </c>
      <c r="N149" s="147">
        <f t="shared" si="29"/>
        <v>2.4008743475388372E-05</v>
      </c>
      <c r="O149" s="123">
        <v>6</v>
      </c>
      <c r="P149" s="152">
        <f t="shared" si="30"/>
        <v>100</v>
      </c>
      <c r="Q149" s="138">
        <f t="shared" si="33"/>
        <v>2.5832403122848216E-05</v>
      </c>
    </row>
    <row r="150" spans="1:17" ht="12.75">
      <c r="A150" s="176"/>
      <c r="B150" s="166"/>
      <c r="C150" s="13" t="s">
        <v>16</v>
      </c>
      <c r="D150" s="14" t="s">
        <v>17</v>
      </c>
      <c r="E150" s="39">
        <v>8084.41</v>
      </c>
      <c r="F150" s="40">
        <v>8330</v>
      </c>
      <c r="G150" s="39">
        <v>8330</v>
      </c>
      <c r="H150" s="39">
        <v>4850.67</v>
      </c>
      <c r="I150" s="34">
        <f t="shared" si="34"/>
        <v>58.2313325330132</v>
      </c>
      <c r="J150" s="35">
        <v>8330</v>
      </c>
      <c r="K150" s="35">
        <v>4850.67</v>
      </c>
      <c r="L150" s="37">
        <f>K150/J150*100</f>
        <v>58.2313325330132</v>
      </c>
      <c r="M150" s="102">
        <v>7340</v>
      </c>
      <c r="N150" s="147">
        <f t="shared" si="29"/>
        <v>0.029370696184891777</v>
      </c>
      <c r="O150" s="123">
        <v>7538</v>
      </c>
      <c r="P150" s="152">
        <f t="shared" si="30"/>
        <v>102.6975476839237</v>
      </c>
      <c r="Q150" s="138">
        <f t="shared" si="33"/>
        <v>0.032454109123338314</v>
      </c>
    </row>
    <row r="151" spans="1:17" ht="24.75" customHeight="1">
      <c r="A151" s="176"/>
      <c r="B151" s="166"/>
      <c r="C151" s="13" t="s">
        <v>148</v>
      </c>
      <c r="D151" s="14" t="s">
        <v>153</v>
      </c>
      <c r="E151" s="39">
        <v>9548.03</v>
      </c>
      <c r="F151" s="40">
        <v>11000</v>
      </c>
      <c r="G151" s="39">
        <v>11000</v>
      </c>
      <c r="H151" s="39">
        <v>10429.28</v>
      </c>
      <c r="I151" s="34">
        <f t="shared" si="34"/>
        <v>94.81163636363637</v>
      </c>
      <c r="J151" s="35">
        <v>11000</v>
      </c>
      <c r="K151" s="35">
        <v>10429.28</v>
      </c>
      <c r="L151" s="37">
        <f>K151/J151*100</f>
        <v>94.81163636363637</v>
      </c>
      <c r="M151" s="102">
        <v>13390</v>
      </c>
      <c r="N151" s="147">
        <f t="shared" si="29"/>
        <v>0.05357951252257505</v>
      </c>
      <c r="O151" s="123">
        <v>13752</v>
      </c>
      <c r="P151" s="152">
        <f t="shared" si="30"/>
        <v>102.70351008215086</v>
      </c>
      <c r="Q151" s="138">
        <f t="shared" si="33"/>
        <v>0.05920786795756811</v>
      </c>
    </row>
    <row r="152" spans="1:17" ht="24.75" customHeight="1">
      <c r="A152" s="176"/>
      <c r="B152" s="166"/>
      <c r="C152" s="13">
        <v>2010</v>
      </c>
      <c r="D152" s="14" t="s">
        <v>194</v>
      </c>
      <c r="E152" s="39">
        <v>3000881</v>
      </c>
      <c r="F152" s="40">
        <v>2959000</v>
      </c>
      <c r="G152" s="39">
        <v>2860193</v>
      </c>
      <c r="H152" s="39">
        <v>2189412</v>
      </c>
      <c r="I152" s="41">
        <f t="shared" si="34"/>
        <v>76.54770150126232</v>
      </c>
      <c r="J152" s="40">
        <v>2860193</v>
      </c>
      <c r="K152" s="40">
        <v>2404072</v>
      </c>
      <c r="L152" s="34">
        <f>K152/J152*100</f>
        <v>84.05278944462839</v>
      </c>
      <c r="M152" s="102">
        <v>2860193</v>
      </c>
      <c r="N152" s="147">
        <f t="shared" si="29"/>
        <v>11.444940004516917</v>
      </c>
      <c r="O152" s="123">
        <v>2894000</v>
      </c>
      <c r="P152" s="152">
        <f t="shared" si="30"/>
        <v>101.18198317386273</v>
      </c>
      <c r="Q152" s="138">
        <f t="shared" si="33"/>
        <v>12.45982910625379</v>
      </c>
    </row>
    <row r="153" spans="1:17" s="11" customFormat="1" ht="31.5">
      <c r="A153" s="176"/>
      <c r="B153" s="163">
        <v>85213</v>
      </c>
      <c r="C153" s="9"/>
      <c r="D153" s="10" t="s">
        <v>119</v>
      </c>
      <c r="E153" s="33">
        <f aca="true" t="shared" si="35" ref="E153:O153">E155+E156+E154</f>
        <v>24842.46</v>
      </c>
      <c r="F153" s="33">
        <f t="shared" si="35"/>
        <v>25000</v>
      </c>
      <c r="G153" s="33">
        <f t="shared" si="35"/>
        <v>27445</v>
      </c>
      <c r="H153" s="33">
        <f t="shared" si="35"/>
        <v>19930.8</v>
      </c>
      <c r="I153" s="33">
        <f t="shared" si="35"/>
        <v>160.4384627516955</v>
      </c>
      <c r="J153" s="33">
        <f t="shared" si="35"/>
        <v>27445</v>
      </c>
      <c r="K153" s="33">
        <f t="shared" si="35"/>
        <v>26113.8</v>
      </c>
      <c r="L153" s="33">
        <f t="shared" si="35"/>
        <v>200.9469727890596</v>
      </c>
      <c r="M153" s="100">
        <f>M155+M156+M154</f>
        <v>27457</v>
      </c>
      <c r="N153" s="146">
        <f t="shared" si="29"/>
        <v>0.1098680116006231</v>
      </c>
      <c r="O153" s="121">
        <f t="shared" si="35"/>
        <v>25880</v>
      </c>
      <c r="P153" s="152">
        <f t="shared" si="30"/>
        <v>94.25647375896857</v>
      </c>
      <c r="Q153" s="138">
        <f t="shared" si="33"/>
        <v>0.11142376546988532</v>
      </c>
    </row>
    <row r="154" spans="1:17" s="16" customFormat="1" ht="12.75">
      <c r="A154" s="176"/>
      <c r="B154" s="164"/>
      <c r="C154" s="13" t="s">
        <v>16</v>
      </c>
      <c r="D154" s="14" t="s">
        <v>17</v>
      </c>
      <c r="E154" s="40"/>
      <c r="F154" s="40"/>
      <c r="G154" s="40"/>
      <c r="H154" s="40">
        <v>10.8</v>
      </c>
      <c r="I154" s="41"/>
      <c r="J154" s="35"/>
      <c r="K154" s="35">
        <v>10.8</v>
      </c>
      <c r="L154" s="41"/>
      <c r="M154" s="102">
        <v>12</v>
      </c>
      <c r="N154" s="147">
        <f t="shared" si="29"/>
        <v>4.8017486950776744E-05</v>
      </c>
      <c r="O154" s="128">
        <v>20</v>
      </c>
      <c r="P154" s="152">
        <f t="shared" si="30"/>
        <v>166.66666666666669</v>
      </c>
      <c r="Q154" s="138">
        <f t="shared" si="33"/>
        <v>8.610801040949406E-05</v>
      </c>
    </row>
    <row r="155" spans="1:17" ht="21.75" customHeight="1">
      <c r="A155" s="176"/>
      <c r="B155" s="166"/>
      <c r="C155" s="13">
        <v>2010</v>
      </c>
      <c r="D155" s="14" t="s">
        <v>195</v>
      </c>
      <c r="E155" s="39">
        <v>10342.8</v>
      </c>
      <c r="F155" s="40">
        <v>7000</v>
      </c>
      <c r="G155" s="39">
        <v>8424</v>
      </c>
      <c r="H155" s="39">
        <v>8424</v>
      </c>
      <c r="I155" s="41">
        <f aca="true" t="shared" si="36" ref="I155:I161">(H155/G155)*100</f>
        <v>100</v>
      </c>
      <c r="J155" s="40">
        <v>8424</v>
      </c>
      <c r="K155" s="40">
        <v>9634</v>
      </c>
      <c r="L155" s="34">
        <f>K155/J155*100</f>
        <v>114.36372269705603</v>
      </c>
      <c r="M155" s="102">
        <v>8424</v>
      </c>
      <c r="N155" s="147">
        <f t="shared" si="29"/>
        <v>0.03370827583944527</v>
      </c>
      <c r="O155" s="123">
        <v>5374</v>
      </c>
      <c r="P155" s="152">
        <f t="shared" si="30"/>
        <v>63.79392212725546</v>
      </c>
      <c r="Q155" s="138">
        <f t="shared" si="33"/>
        <v>0.023137222397031053</v>
      </c>
    </row>
    <row r="156" spans="1:17" ht="22.5">
      <c r="A156" s="176"/>
      <c r="B156" s="169"/>
      <c r="C156" s="13" t="s">
        <v>108</v>
      </c>
      <c r="D156" s="14" t="s">
        <v>121</v>
      </c>
      <c r="E156" s="39">
        <v>14499.66</v>
      </c>
      <c r="F156" s="40">
        <v>18000</v>
      </c>
      <c r="G156" s="39">
        <v>19021</v>
      </c>
      <c r="H156" s="39">
        <v>11496</v>
      </c>
      <c r="I156" s="41">
        <f t="shared" si="36"/>
        <v>60.438462751695496</v>
      </c>
      <c r="J156" s="40">
        <v>19021</v>
      </c>
      <c r="K156" s="40">
        <v>16469</v>
      </c>
      <c r="L156" s="34">
        <f>K156/J156*100</f>
        <v>86.58325009200357</v>
      </c>
      <c r="M156" s="102">
        <v>19021</v>
      </c>
      <c r="N156" s="147">
        <f t="shared" si="29"/>
        <v>0.07611171827422704</v>
      </c>
      <c r="O156" s="123">
        <v>20486</v>
      </c>
      <c r="P156" s="152">
        <f t="shared" si="30"/>
        <v>107.70201356395563</v>
      </c>
      <c r="Q156" s="138">
        <f t="shared" si="33"/>
        <v>0.08820043506244477</v>
      </c>
    </row>
    <row r="157" spans="1:17" s="11" customFormat="1" ht="30.75" customHeight="1">
      <c r="A157" s="176"/>
      <c r="B157" s="163">
        <v>85214</v>
      </c>
      <c r="C157" s="9"/>
      <c r="D157" s="84" t="s">
        <v>120</v>
      </c>
      <c r="E157" s="33" t="e">
        <f>#REF!+E159+E158+#REF!</f>
        <v>#REF!</v>
      </c>
      <c r="F157" s="33" t="e">
        <f>#REF!+F159+F158+#REF!</f>
        <v>#REF!</v>
      </c>
      <c r="G157" s="33" t="e">
        <f>#REF!+G159+G158+#REF!</f>
        <v>#REF!</v>
      </c>
      <c r="H157" s="33" t="e">
        <f>#REF!+H159+H158+#REF!</f>
        <v>#REF!</v>
      </c>
      <c r="I157" s="41" t="e">
        <f t="shared" si="36"/>
        <v>#REF!</v>
      </c>
      <c r="J157" s="51" t="e">
        <f>J158+#REF!+J159+#REF!</f>
        <v>#REF!</v>
      </c>
      <c r="K157" s="51" t="e">
        <f>K158+#REF!+K159+#REF!</f>
        <v>#REF!</v>
      </c>
      <c r="L157" s="51" t="e">
        <f>L158+#REF!+L159+#REF!</f>
        <v>#REF!</v>
      </c>
      <c r="M157" s="104">
        <f>M158+M159</f>
        <v>42117</v>
      </c>
      <c r="N157" s="146">
        <f t="shared" si="29"/>
        <v>0.1685293748254887</v>
      </c>
      <c r="O157" s="126">
        <f>O158+O159</f>
        <v>22296</v>
      </c>
      <c r="P157" s="152">
        <f t="shared" si="30"/>
        <v>52.93824346463424</v>
      </c>
      <c r="Q157" s="138">
        <f t="shared" si="33"/>
        <v>0.09599321000450398</v>
      </c>
    </row>
    <row r="158" spans="1:17" ht="12.75">
      <c r="A158" s="176"/>
      <c r="B158" s="166"/>
      <c r="C158" s="13" t="s">
        <v>16</v>
      </c>
      <c r="D158" s="14" t="s">
        <v>17</v>
      </c>
      <c r="E158" s="39">
        <v>220</v>
      </c>
      <c r="F158" s="40">
        <v>890</v>
      </c>
      <c r="G158" s="39">
        <v>890</v>
      </c>
      <c r="H158" s="39">
        <v>900</v>
      </c>
      <c r="I158" s="41">
        <f t="shared" si="36"/>
        <v>101.12359550561798</v>
      </c>
      <c r="J158" s="40">
        <v>890</v>
      </c>
      <c r="K158" s="40">
        <v>900</v>
      </c>
      <c r="L158" s="34">
        <f aca="true" t="shared" si="37" ref="L158:L169">K158/J158*100</f>
        <v>101.12359550561798</v>
      </c>
      <c r="M158" s="102">
        <v>950</v>
      </c>
      <c r="N158" s="147">
        <f t="shared" si="29"/>
        <v>0.0038013843836031593</v>
      </c>
      <c r="O158" s="123">
        <v>1000</v>
      </c>
      <c r="P158" s="152">
        <f t="shared" si="30"/>
        <v>105.26315789473684</v>
      </c>
      <c r="Q158" s="151">
        <f t="shared" si="33"/>
        <v>0.004305400520474703</v>
      </c>
    </row>
    <row r="159" spans="1:17" ht="22.5">
      <c r="A159" s="176"/>
      <c r="B159" s="166"/>
      <c r="C159" s="13">
        <v>2030</v>
      </c>
      <c r="D159" s="14" t="s">
        <v>121</v>
      </c>
      <c r="E159" s="39">
        <v>59764</v>
      </c>
      <c r="F159" s="40">
        <v>25000</v>
      </c>
      <c r="G159" s="39">
        <v>41167</v>
      </c>
      <c r="H159" s="39">
        <v>29791</v>
      </c>
      <c r="I159" s="41">
        <f t="shared" si="36"/>
        <v>72.3662156581728</v>
      </c>
      <c r="J159" s="40">
        <v>41167</v>
      </c>
      <c r="K159" s="40">
        <v>39650</v>
      </c>
      <c r="L159" s="34">
        <f t="shared" si="37"/>
        <v>96.315009595064</v>
      </c>
      <c r="M159" s="102">
        <v>41167</v>
      </c>
      <c r="N159" s="147">
        <f t="shared" si="29"/>
        <v>0.16472799044188552</v>
      </c>
      <c r="O159" s="123">
        <v>21296</v>
      </c>
      <c r="P159" s="152">
        <f t="shared" si="30"/>
        <v>51.73075521655696</v>
      </c>
      <c r="Q159" s="151">
        <f>O159/$O$249*100</f>
        <v>0.09168780948402927</v>
      </c>
    </row>
    <row r="160" spans="1:17" ht="12.75">
      <c r="A160" s="176"/>
      <c r="B160" s="21">
        <v>85216</v>
      </c>
      <c r="C160" s="9"/>
      <c r="D160" s="10" t="s">
        <v>151</v>
      </c>
      <c r="E160" s="38">
        <f>E161</f>
        <v>170546</v>
      </c>
      <c r="F160" s="38">
        <f>F161</f>
        <v>86000</v>
      </c>
      <c r="G160" s="38">
        <f>G161</f>
        <v>182352</v>
      </c>
      <c r="H160" s="38">
        <f>H161</f>
        <v>134057</v>
      </c>
      <c r="I160" s="41">
        <f t="shared" si="36"/>
        <v>73.51550846714048</v>
      </c>
      <c r="J160" s="51">
        <f>J161</f>
        <v>182352</v>
      </c>
      <c r="K160" s="51">
        <f>K161</f>
        <v>158926</v>
      </c>
      <c r="L160" s="34">
        <f t="shared" si="37"/>
        <v>87.15341756602615</v>
      </c>
      <c r="M160" s="100">
        <f>M161</f>
        <v>182352</v>
      </c>
      <c r="N160" s="146">
        <f t="shared" si="29"/>
        <v>0.7296737317040034</v>
      </c>
      <c r="O160" s="121">
        <f>O161</f>
        <v>91008</v>
      </c>
      <c r="P160" s="152">
        <f t="shared" si="30"/>
        <v>49.90787049223479</v>
      </c>
      <c r="Q160" s="138">
        <f t="shared" si="33"/>
        <v>0.3918258905673618</v>
      </c>
    </row>
    <row r="161" spans="1:17" ht="22.5">
      <c r="A161" s="176"/>
      <c r="B161" s="22"/>
      <c r="C161" s="13" t="s">
        <v>108</v>
      </c>
      <c r="D161" s="14" t="s">
        <v>123</v>
      </c>
      <c r="E161" s="39">
        <v>170546</v>
      </c>
      <c r="F161" s="40">
        <v>86000</v>
      </c>
      <c r="G161" s="39">
        <v>182352</v>
      </c>
      <c r="H161" s="39">
        <v>134057</v>
      </c>
      <c r="I161" s="41">
        <f t="shared" si="36"/>
        <v>73.51550846714048</v>
      </c>
      <c r="J161" s="40">
        <v>182352</v>
      </c>
      <c r="K161" s="40">
        <v>158926</v>
      </c>
      <c r="L161" s="34">
        <f t="shared" si="37"/>
        <v>87.15341756602615</v>
      </c>
      <c r="M161" s="102">
        <v>182352</v>
      </c>
      <c r="N161" s="147">
        <f t="shared" si="29"/>
        <v>0.7296737317040034</v>
      </c>
      <c r="O161" s="123">
        <v>91008</v>
      </c>
      <c r="P161" s="152">
        <f t="shared" si="30"/>
        <v>49.90787049223479</v>
      </c>
      <c r="Q161" s="138">
        <f t="shared" si="33"/>
        <v>0.3918258905673618</v>
      </c>
    </row>
    <row r="162" spans="1:17" s="11" customFormat="1" ht="12.75">
      <c r="A162" s="176"/>
      <c r="B162" s="163">
        <v>85219</v>
      </c>
      <c r="C162" s="9"/>
      <c r="D162" s="10" t="s">
        <v>122</v>
      </c>
      <c r="E162" s="33" t="e">
        <f>#REF!+E163+E164+E165+E166+#REF!</f>
        <v>#REF!</v>
      </c>
      <c r="F162" s="33" t="e">
        <f>#REF!+F163+F164+F165+F166+#REF!</f>
        <v>#REF!</v>
      </c>
      <c r="G162" s="33" t="e">
        <f>#REF!+G163+G164+G165+G166+#REF!</f>
        <v>#REF!</v>
      </c>
      <c r="H162" s="33" t="e">
        <f>#REF!+H163+H164+H165+H166+#REF!</f>
        <v>#REF!</v>
      </c>
      <c r="I162" s="33" t="e">
        <f>#REF!+I163+I164+I165+I166+#REF!</f>
        <v>#REF!</v>
      </c>
      <c r="J162" s="33" t="e">
        <f>#REF!+J163+J164+J165+#REF!+J166</f>
        <v>#REF!</v>
      </c>
      <c r="K162" s="33" t="e">
        <f>#REF!+K163+K164+K165+#REF!+K166</f>
        <v>#REF!</v>
      </c>
      <c r="L162" s="34" t="e">
        <f t="shared" si="37"/>
        <v>#REF!</v>
      </c>
      <c r="M162" s="100">
        <f>M163+M164+M165+M166</f>
        <v>113685</v>
      </c>
      <c r="N162" s="146">
        <f t="shared" si="29"/>
        <v>0.45490566699992124</v>
      </c>
      <c r="O162" s="121">
        <f>O163+O164+O165+O166</f>
        <v>100830</v>
      </c>
      <c r="P162" s="152">
        <f t="shared" si="30"/>
        <v>88.69243963583587</v>
      </c>
      <c r="Q162" s="138">
        <f t="shared" si="33"/>
        <v>0.43411353447946427</v>
      </c>
    </row>
    <row r="163" spans="1:17" ht="12.75">
      <c r="A163" s="176"/>
      <c r="B163" s="179"/>
      <c r="C163" s="13" t="s">
        <v>52</v>
      </c>
      <c r="D163" s="14" t="s">
        <v>53</v>
      </c>
      <c r="E163" s="39">
        <v>1597.82</v>
      </c>
      <c r="F163" s="40">
        <v>1060</v>
      </c>
      <c r="G163" s="39">
        <v>1060</v>
      </c>
      <c r="H163" s="39">
        <v>650.28</v>
      </c>
      <c r="I163" s="41">
        <f aca="true" t="shared" si="38" ref="I163:I170">(H163/G163)*100</f>
        <v>61.347169811320754</v>
      </c>
      <c r="J163" s="40">
        <v>1060</v>
      </c>
      <c r="K163" s="40">
        <v>650.28</v>
      </c>
      <c r="L163" s="34">
        <f t="shared" si="37"/>
        <v>61.347169811320754</v>
      </c>
      <c r="M163" s="102">
        <v>750</v>
      </c>
      <c r="N163" s="147">
        <f t="shared" si="29"/>
        <v>0.0030010929344235467</v>
      </c>
      <c r="O163" s="123">
        <v>668</v>
      </c>
      <c r="P163" s="152">
        <f t="shared" si="30"/>
        <v>89.06666666666668</v>
      </c>
      <c r="Q163" s="151">
        <f t="shared" si="33"/>
        <v>0.0028760075476771015</v>
      </c>
    </row>
    <row r="164" spans="1:17" ht="12.75">
      <c r="A164" s="176"/>
      <c r="B164" s="179"/>
      <c r="C164" s="13" t="s">
        <v>41</v>
      </c>
      <c r="D164" s="14" t="s">
        <v>42</v>
      </c>
      <c r="E164" s="39">
        <v>1467.94</v>
      </c>
      <c r="F164" s="40">
        <v>1500</v>
      </c>
      <c r="G164" s="39">
        <v>1500</v>
      </c>
      <c r="H164" s="39">
        <v>1276.94</v>
      </c>
      <c r="I164" s="41">
        <f t="shared" si="38"/>
        <v>85.12933333333334</v>
      </c>
      <c r="J164" s="40">
        <v>1500</v>
      </c>
      <c r="K164" s="40">
        <v>1276.94</v>
      </c>
      <c r="L164" s="34">
        <f t="shared" si="37"/>
        <v>85.12933333333334</v>
      </c>
      <c r="M164" s="102">
        <v>1650</v>
      </c>
      <c r="N164" s="147">
        <f t="shared" si="29"/>
        <v>0.006602404455731803</v>
      </c>
      <c r="O164" s="123">
        <v>1725</v>
      </c>
      <c r="P164" s="152">
        <f t="shared" si="30"/>
        <v>104.54545454545455</v>
      </c>
      <c r="Q164" s="151">
        <f t="shared" si="33"/>
        <v>0.007426815897818863</v>
      </c>
    </row>
    <row r="165" spans="1:17" ht="12.75">
      <c r="A165" s="176"/>
      <c r="B165" s="179"/>
      <c r="C165" s="13" t="s">
        <v>16</v>
      </c>
      <c r="D165" s="14" t="s">
        <v>17</v>
      </c>
      <c r="E165" s="39">
        <v>1127.02</v>
      </c>
      <c r="F165" s="40">
        <v>200</v>
      </c>
      <c r="G165" s="39">
        <v>200</v>
      </c>
      <c r="H165" s="39">
        <v>98</v>
      </c>
      <c r="I165" s="41">
        <f t="shared" si="38"/>
        <v>49</v>
      </c>
      <c r="J165" s="40">
        <v>200</v>
      </c>
      <c r="K165" s="40">
        <v>98</v>
      </c>
      <c r="L165" s="34">
        <f t="shared" si="37"/>
        <v>49</v>
      </c>
      <c r="M165" s="102">
        <v>130</v>
      </c>
      <c r="N165" s="147">
        <f t="shared" si="29"/>
        <v>0.0005201894419667481</v>
      </c>
      <c r="O165" s="123">
        <v>134</v>
      </c>
      <c r="P165" s="152">
        <f t="shared" si="30"/>
        <v>103.07692307692307</v>
      </c>
      <c r="Q165" s="151">
        <f t="shared" si="33"/>
        <v>0.0005769236697436102</v>
      </c>
    </row>
    <row r="166" spans="1:17" ht="22.5">
      <c r="A166" s="176"/>
      <c r="B166" s="179"/>
      <c r="C166" s="13">
        <v>2030</v>
      </c>
      <c r="D166" s="14" t="s">
        <v>123</v>
      </c>
      <c r="E166" s="39">
        <v>130009.48</v>
      </c>
      <c r="F166" s="40">
        <v>100000</v>
      </c>
      <c r="G166" s="39">
        <v>99642</v>
      </c>
      <c r="H166" s="39">
        <v>76862</v>
      </c>
      <c r="I166" s="41">
        <f t="shared" si="38"/>
        <v>77.13815459344453</v>
      </c>
      <c r="J166" s="40">
        <v>111155</v>
      </c>
      <c r="K166" s="40">
        <v>94287</v>
      </c>
      <c r="L166" s="34">
        <f t="shared" si="37"/>
        <v>84.82479420628852</v>
      </c>
      <c r="M166" s="102">
        <v>111155</v>
      </c>
      <c r="N166" s="147">
        <f t="shared" si="29"/>
        <v>0.4447819801677991</v>
      </c>
      <c r="O166" s="123">
        <v>98303</v>
      </c>
      <c r="P166" s="152">
        <f t="shared" si="30"/>
        <v>88.43776708200261</v>
      </c>
      <c r="Q166" s="151">
        <f>O166/$O$249*100</f>
        <v>0.42323378736422473</v>
      </c>
    </row>
    <row r="167" spans="1:17" s="11" customFormat="1" ht="21">
      <c r="A167" s="176"/>
      <c r="B167" s="163">
        <v>85228</v>
      </c>
      <c r="C167" s="9"/>
      <c r="D167" s="10" t="s">
        <v>196</v>
      </c>
      <c r="E167" s="33">
        <f>E169+E168</f>
        <v>27891.26</v>
      </c>
      <c r="F167" s="33">
        <f>F169+F168</f>
        <v>31200</v>
      </c>
      <c r="G167" s="33">
        <f>G169+G168</f>
        <v>31200</v>
      </c>
      <c r="H167" s="33">
        <f>H169+H168</f>
        <v>21266.65</v>
      </c>
      <c r="I167" s="41">
        <f t="shared" si="38"/>
        <v>68.16233974358975</v>
      </c>
      <c r="J167" s="33">
        <f>J169+J168</f>
        <v>31200</v>
      </c>
      <c r="K167" s="33">
        <f>K169+K168</f>
        <v>21266.65</v>
      </c>
      <c r="L167" s="34">
        <f t="shared" si="37"/>
        <v>68.16233974358975</v>
      </c>
      <c r="M167" s="100">
        <f>M169+M168</f>
        <v>28535</v>
      </c>
      <c r="N167" s="146">
        <f t="shared" si="29"/>
        <v>0.11418158251170121</v>
      </c>
      <c r="O167" s="121">
        <f>O169+O168</f>
        <v>29306</v>
      </c>
      <c r="P167" s="152">
        <f t="shared" si="30"/>
        <v>102.7019449798493</v>
      </c>
      <c r="Q167" s="138">
        <f aca="true" t="shared" si="39" ref="Q167:Q191">O167/$O$249*100</f>
        <v>0.12617406765303166</v>
      </c>
    </row>
    <row r="168" spans="1:17" s="11" customFormat="1" ht="12.75">
      <c r="A168" s="176"/>
      <c r="B168" s="164"/>
      <c r="C168" s="13" t="s">
        <v>10</v>
      </c>
      <c r="D168" s="14" t="s">
        <v>11</v>
      </c>
      <c r="E168" s="40">
        <v>8.8</v>
      </c>
      <c r="F168" s="40"/>
      <c r="G168" s="40"/>
      <c r="H168" s="40">
        <v>35.2</v>
      </c>
      <c r="I168" s="41" t="e">
        <f t="shared" si="38"/>
        <v>#DIV/0!</v>
      </c>
      <c r="J168" s="40"/>
      <c r="K168" s="40">
        <v>35.2</v>
      </c>
      <c r="L168" s="34" t="e">
        <f t="shared" si="37"/>
        <v>#DIV/0!</v>
      </c>
      <c r="M168" s="102">
        <v>35</v>
      </c>
      <c r="N168" s="147">
        <f t="shared" si="29"/>
        <v>0.00014005100360643216</v>
      </c>
      <c r="O168" s="128">
        <v>36</v>
      </c>
      <c r="P168" s="152">
        <f t="shared" si="30"/>
        <v>102.85714285714285</v>
      </c>
      <c r="Q168" s="151">
        <f t="shared" si="39"/>
        <v>0.00015499441873708931</v>
      </c>
    </row>
    <row r="169" spans="1:17" ht="12.75">
      <c r="A169" s="176"/>
      <c r="B169" s="169"/>
      <c r="C169" s="13" t="s">
        <v>52</v>
      </c>
      <c r="D169" s="14" t="s">
        <v>53</v>
      </c>
      <c r="E169" s="39">
        <v>27882.46</v>
      </c>
      <c r="F169" s="40">
        <v>31200</v>
      </c>
      <c r="G169" s="39">
        <v>31200</v>
      </c>
      <c r="H169" s="39">
        <v>21231.45</v>
      </c>
      <c r="I169" s="41">
        <f t="shared" si="38"/>
        <v>68.04951923076923</v>
      </c>
      <c r="J169" s="40">
        <v>31200</v>
      </c>
      <c r="K169" s="40">
        <v>21231.45</v>
      </c>
      <c r="L169" s="34">
        <f t="shared" si="37"/>
        <v>68.04951923076923</v>
      </c>
      <c r="M169" s="102">
        <v>28500</v>
      </c>
      <c r="N169" s="147">
        <f t="shared" si="29"/>
        <v>0.11404153150809478</v>
      </c>
      <c r="O169" s="123">
        <v>29270</v>
      </c>
      <c r="P169" s="152">
        <f t="shared" si="30"/>
        <v>102.70175438596492</v>
      </c>
      <c r="Q169" s="151">
        <f t="shared" si="39"/>
        <v>0.12601907323429457</v>
      </c>
    </row>
    <row r="170" spans="1:17" s="11" customFormat="1" ht="12.75">
      <c r="A170" s="176"/>
      <c r="B170" s="163">
        <v>85295</v>
      </c>
      <c r="C170" s="9"/>
      <c r="D170" s="10" t="s">
        <v>19</v>
      </c>
      <c r="E170" s="33" t="e">
        <f>E172+#REF!+E171+#REF!</f>
        <v>#REF!</v>
      </c>
      <c r="F170" s="33" t="e">
        <f>F172+#REF!+F171+#REF!</f>
        <v>#REF!</v>
      </c>
      <c r="G170" s="33" t="e">
        <f>G172+#REF!+G171+#REF!</f>
        <v>#REF!</v>
      </c>
      <c r="H170" s="33" t="e">
        <f>H172+#REF!+H171+#REF!</f>
        <v>#REF!</v>
      </c>
      <c r="I170" s="41" t="e">
        <f t="shared" si="38"/>
        <v>#REF!</v>
      </c>
      <c r="J170" s="51" t="e">
        <f>#REF!+#REF!+J171+J172</f>
        <v>#REF!</v>
      </c>
      <c r="K170" s="51" t="e">
        <f>#REF!+#REF!+K171+K172</f>
        <v>#REF!</v>
      </c>
      <c r="L170" s="34" t="e">
        <f aca="true" t="shared" si="40" ref="L170:L177">K170/J170*100</f>
        <v>#REF!</v>
      </c>
      <c r="M170" s="100">
        <f>M172+M171</f>
        <v>188956</v>
      </c>
      <c r="N170" s="147">
        <f t="shared" si="29"/>
        <v>0.7560993553559142</v>
      </c>
      <c r="O170" s="121">
        <f>O172+O171</f>
        <v>106645</v>
      </c>
      <c r="P170" s="152">
        <f t="shared" si="30"/>
        <v>56.43906517919516</v>
      </c>
      <c r="Q170" s="138">
        <f t="shared" si="39"/>
        <v>0.45914943850602474</v>
      </c>
    </row>
    <row r="171" spans="1:17" ht="24.75" customHeight="1">
      <c r="A171" s="176"/>
      <c r="B171" s="166"/>
      <c r="C171" s="13" t="s">
        <v>20</v>
      </c>
      <c r="D171" s="14" t="s">
        <v>202</v>
      </c>
      <c r="E171" s="40">
        <v>11900</v>
      </c>
      <c r="F171" s="40"/>
      <c r="G171" s="40">
        <v>36181</v>
      </c>
      <c r="H171" s="40">
        <v>28029</v>
      </c>
      <c r="I171" s="41"/>
      <c r="J171" s="40">
        <v>36181</v>
      </c>
      <c r="K171" s="40">
        <v>30853</v>
      </c>
      <c r="L171" s="34">
        <f t="shared" si="40"/>
        <v>85.27403886017522</v>
      </c>
      <c r="M171" s="102">
        <v>36181</v>
      </c>
      <c r="N171" s="147">
        <f t="shared" si="29"/>
        <v>0.14477672461383778</v>
      </c>
      <c r="O171" s="123"/>
      <c r="P171" s="152">
        <f t="shared" si="30"/>
        <v>0</v>
      </c>
      <c r="Q171" s="151">
        <f t="shared" si="39"/>
        <v>0</v>
      </c>
    </row>
    <row r="172" spans="1:17" ht="22.5">
      <c r="A172" s="176"/>
      <c r="B172" s="169"/>
      <c r="C172" s="13">
        <v>2030</v>
      </c>
      <c r="D172" s="14" t="s">
        <v>203</v>
      </c>
      <c r="E172" s="39">
        <v>185000</v>
      </c>
      <c r="F172" s="40">
        <v>104000</v>
      </c>
      <c r="G172" s="39">
        <v>132782</v>
      </c>
      <c r="H172" s="39">
        <v>132782</v>
      </c>
      <c r="I172" s="41">
        <f>(H172/G172)*100</f>
        <v>100</v>
      </c>
      <c r="J172" s="40">
        <v>152775</v>
      </c>
      <c r="K172" s="40">
        <v>149182</v>
      </c>
      <c r="L172" s="34">
        <f t="shared" si="40"/>
        <v>97.64817542137129</v>
      </c>
      <c r="M172" s="102">
        <v>152775</v>
      </c>
      <c r="N172" s="147">
        <f t="shared" si="29"/>
        <v>0.6113226307420765</v>
      </c>
      <c r="O172" s="123">
        <v>106645</v>
      </c>
      <c r="P172" s="152">
        <f t="shared" si="30"/>
        <v>69.80526918671248</v>
      </c>
      <c r="Q172" s="151">
        <f t="shared" si="39"/>
        <v>0.45914943850602474</v>
      </c>
    </row>
    <row r="173" spans="1:17" s="11" customFormat="1" ht="21">
      <c r="A173" s="160" t="s">
        <v>124</v>
      </c>
      <c r="B173" s="9"/>
      <c r="C173" s="9"/>
      <c r="D173" s="29" t="s">
        <v>125</v>
      </c>
      <c r="E173" s="56">
        <f>E174</f>
        <v>102001.45</v>
      </c>
      <c r="F173" s="56">
        <f>F174</f>
        <v>114475</v>
      </c>
      <c r="G173" s="56">
        <f>G174</f>
        <v>120498.37</v>
      </c>
      <c r="H173" s="56">
        <f>H174</f>
        <v>120092.17</v>
      </c>
      <c r="I173" s="36">
        <f>(H173/G173)*100</f>
        <v>99.6629000043735</v>
      </c>
      <c r="J173" s="51">
        <f>J174</f>
        <v>120498.37</v>
      </c>
      <c r="K173" s="51">
        <f>K174</f>
        <v>120092.17</v>
      </c>
      <c r="L173" s="34">
        <f t="shared" si="40"/>
        <v>99.6629000043735</v>
      </c>
      <c r="M173" s="100">
        <f>M174</f>
        <v>120278.37</v>
      </c>
      <c r="N173" s="146">
        <f t="shared" si="29"/>
        <v>0.4812887551613081</v>
      </c>
      <c r="O173" s="121">
        <f>O174</f>
        <v>117367</v>
      </c>
      <c r="P173" s="152">
        <f t="shared" si="30"/>
        <v>97.57947335002962</v>
      </c>
      <c r="Q173" s="138">
        <f t="shared" si="39"/>
        <v>0.5053119428865545</v>
      </c>
    </row>
    <row r="174" spans="1:17" ht="12.75">
      <c r="A174" s="161"/>
      <c r="B174" s="177" t="s">
        <v>126</v>
      </c>
      <c r="C174" s="13"/>
      <c r="D174" s="29" t="s">
        <v>19</v>
      </c>
      <c r="E174" s="56">
        <f>E175+E177+E176</f>
        <v>102001.45</v>
      </c>
      <c r="F174" s="56">
        <f>+F175+F177+F176</f>
        <v>114475</v>
      </c>
      <c r="G174" s="56">
        <f>+G175+G177+G176</f>
        <v>120498.37</v>
      </c>
      <c r="H174" s="56">
        <f>+H175+H177+H176</f>
        <v>120092.17</v>
      </c>
      <c r="I174" s="56" t="e">
        <f>#REF!+I175+I177+I176</f>
        <v>#REF!</v>
      </c>
      <c r="J174" s="51">
        <f>J175+J176+J177</f>
        <v>120498.37</v>
      </c>
      <c r="K174" s="51">
        <f>K175+K176+K177</f>
        <v>120092.17</v>
      </c>
      <c r="L174" s="34">
        <f t="shared" si="40"/>
        <v>99.6629000043735</v>
      </c>
      <c r="M174" s="102">
        <f>M175+M177+M176</f>
        <v>120278.37</v>
      </c>
      <c r="N174" s="147">
        <f t="shared" si="29"/>
        <v>0.4812887551613081</v>
      </c>
      <c r="O174" s="128">
        <f>O175+O177+O176</f>
        <v>117367</v>
      </c>
      <c r="P174" s="152">
        <f t="shared" si="30"/>
        <v>97.57947335002962</v>
      </c>
      <c r="Q174" s="138">
        <f t="shared" si="39"/>
        <v>0.5053119428865545</v>
      </c>
    </row>
    <row r="175" spans="1:17" ht="12.75">
      <c r="A175" s="161"/>
      <c r="B175" s="178"/>
      <c r="C175" s="13" t="s">
        <v>41</v>
      </c>
      <c r="D175" s="14" t="s">
        <v>42</v>
      </c>
      <c r="E175" s="39">
        <v>656.67</v>
      </c>
      <c r="F175" s="39">
        <v>700</v>
      </c>
      <c r="G175" s="39">
        <v>700</v>
      </c>
      <c r="H175" s="39">
        <v>293.75</v>
      </c>
      <c r="I175" s="41">
        <f aca="true" t="shared" si="41" ref="I175:I183">(H175/G175)*100</f>
        <v>41.964285714285715</v>
      </c>
      <c r="J175" s="40">
        <v>700</v>
      </c>
      <c r="K175" s="40">
        <v>293.75</v>
      </c>
      <c r="L175" s="34">
        <f t="shared" si="40"/>
        <v>41.964285714285715</v>
      </c>
      <c r="M175" s="102">
        <v>480</v>
      </c>
      <c r="N175" s="147">
        <f t="shared" si="29"/>
        <v>0.00192069947803107</v>
      </c>
      <c r="O175" s="128">
        <v>500</v>
      </c>
      <c r="P175" s="152">
        <f t="shared" si="30"/>
        <v>104.16666666666667</v>
      </c>
      <c r="Q175" s="150">
        <f t="shared" si="39"/>
        <v>0.0021527002602373516</v>
      </c>
    </row>
    <row r="176" spans="1:17" ht="22.5">
      <c r="A176" s="161"/>
      <c r="B176" s="178"/>
      <c r="C176" s="13" t="s">
        <v>154</v>
      </c>
      <c r="D176" s="14" t="s">
        <v>127</v>
      </c>
      <c r="E176" s="39">
        <v>96249.23</v>
      </c>
      <c r="F176" s="39">
        <v>113775</v>
      </c>
      <c r="G176" s="39">
        <v>113775</v>
      </c>
      <c r="H176" s="39">
        <v>113775.05</v>
      </c>
      <c r="I176" s="41">
        <f t="shared" si="41"/>
        <v>100.00004394638542</v>
      </c>
      <c r="J176" s="40">
        <v>113775</v>
      </c>
      <c r="K176" s="40">
        <v>113775.05</v>
      </c>
      <c r="L176" s="34">
        <f t="shared" si="40"/>
        <v>100.00004394638542</v>
      </c>
      <c r="M176" s="102">
        <v>113775</v>
      </c>
      <c r="N176" s="147">
        <f t="shared" si="29"/>
        <v>0.45526579815205204</v>
      </c>
      <c r="O176" s="128">
        <v>116867</v>
      </c>
      <c r="P176" s="152">
        <f t="shared" si="30"/>
        <v>102.71764447374203</v>
      </c>
      <c r="Q176" s="150">
        <f t="shared" si="39"/>
        <v>0.5031592426263171</v>
      </c>
    </row>
    <row r="177" spans="1:17" ht="22.5">
      <c r="A177" s="162"/>
      <c r="B177" s="166"/>
      <c r="C177" s="13" t="s">
        <v>128</v>
      </c>
      <c r="D177" s="14" t="s">
        <v>127</v>
      </c>
      <c r="E177" s="39">
        <v>5095.55</v>
      </c>
      <c r="F177" s="40"/>
      <c r="G177" s="39">
        <v>6023.37</v>
      </c>
      <c r="H177" s="39">
        <v>6023.37</v>
      </c>
      <c r="I177" s="41">
        <f t="shared" si="41"/>
        <v>100</v>
      </c>
      <c r="J177" s="40">
        <v>6023.37</v>
      </c>
      <c r="K177" s="40">
        <v>6023.37</v>
      </c>
      <c r="L177" s="34">
        <f t="shared" si="40"/>
        <v>100</v>
      </c>
      <c r="M177" s="102">
        <v>6023.37</v>
      </c>
      <c r="N177" s="147">
        <f t="shared" si="29"/>
        <v>0.02410225753122501</v>
      </c>
      <c r="O177" s="123"/>
      <c r="P177" s="152">
        <f t="shared" si="30"/>
        <v>0</v>
      </c>
      <c r="Q177" s="150">
        <f t="shared" si="39"/>
        <v>0</v>
      </c>
    </row>
    <row r="178" spans="1:17" s="11" customFormat="1" ht="21">
      <c r="A178" s="170">
        <v>854</v>
      </c>
      <c r="B178" s="9"/>
      <c r="C178" s="9"/>
      <c r="D178" s="10" t="s">
        <v>129</v>
      </c>
      <c r="E178" s="33">
        <f aca="true" t="shared" si="42" ref="E178:H179">E179</f>
        <v>170639.96</v>
      </c>
      <c r="F178" s="33">
        <f t="shared" si="42"/>
        <v>0</v>
      </c>
      <c r="G178" s="33">
        <f t="shared" si="42"/>
        <v>94350</v>
      </c>
      <c r="H178" s="33">
        <f t="shared" si="42"/>
        <v>94350</v>
      </c>
      <c r="I178" s="34">
        <f t="shared" si="41"/>
        <v>100</v>
      </c>
      <c r="J178" s="33">
        <f>J179</f>
        <v>218245</v>
      </c>
      <c r="K178" s="33">
        <f>K179</f>
        <v>157475</v>
      </c>
      <c r="L178" s="33">
        <f>L179</f>
        <v>72.1551467387569</v>
      </c>
      <c r="M178" s="100">
        <f>M179</f>
        <v>157475</v>
      </c>
      <c r="N178" s="146">
        <f t="shared" si="29"/>
        <v>0.6301294797977973</v>
      </c>
      <c r="O178" s="121">
        <f>O179</f>
        <v>0</v>
      </c>
      <c r="P178" s="152">
        <f t="shared" si="30"/>
        <v>0</v>
      </c>
      <c r="Q178" s="138">
        <f t="shared" si="39"/>
        <v>0</v>
      </c>
    </row>
    <row r="179" spans="1:17" s="11" customFormat="1" ht="12.75">
      <c r="A179" s="170"/>
      <c r="B179" s="163">
        <v>85415</v>
      </c>
      <c r="C179" s="9"/>
      <c r="D179" s="10" t="s">
        <v>130</v>
      </c>
      <c r="E179" s="33">
        <f t="shared" si="42"/>
        <v>170639.96</v>
      </c>
      <c r="F179" s="33">
        <f t="shared" si="42"/>
        <v>0</v>
      </c>
      <c r="G179" s="33">
        <f t="shared" si="42"/>
        <v>94350</v>
      </c>
      <c r="H179" s="33">
        <f t="shared" si="42"/>
        <v>94350</v>
      </c>
      <c r="I179" s="34">
        <f t="shared" si="41"/>
        <v>100</v>
      </c>
      <c r="J179" s="33">
        <f>J180</f>
        <v>218245</v>
      </c>
      <c r="K179" s="33">
        <f>K180</f>
        <v>157475</v>
      </c>
      <c r="L179" s="34">
        <f aca="true" t="shared" si="43" ref="L179:L185">K179/J179*100</f>
        <v>72.1551467387569</v>
      </c>
      <c r="M179" s="100">
        <f>M180</f>
        <v>157475</v>
      </c>
      <c r="N179" s="146">
        <f t="shared" si="29"/>
        <v>0.6301294797977973</v>
      </c>
      <c r="O179" s="121">
        <f>O180</f>
        <v>0</v>
      </c>
      <c r="P179" s="152">
        <f t="shared" si="30"/>
        <v>0</v>
      </c>
      <c r="Q179" s="138">
        <f t="shared" si="39"/>
        <v>0</v>
      </c>
    </row>
    <row r="180" spans="1:17" ht="22.5">
      <c r="A180" s="170"/>
      <c r="B180" s="166"/>
      <c r="C180" s="13">
        <v>2030</v>
      </c>
      <c r="D180" s="14" t="s">
        <v>123</v>
      </c>
      <c r="E180" s="39">
        <v>170639.96</v>
      </c>
      <c r="F180" s="40"/>
      <c r="G180" s="39">
        <v>94350</v>
      </c>
      <c r="H180" s="39">
        <v>94350</v>
      </c>
      <c r="I180" s="41">
        <f t="shared" si="41"/>
        <v>100</v>
      </c>
      <c r="J180" s="40">
        <v>218245</v>
      </c>
      <c r="K180" s="40">
        <v>157475</v>
      </c>
      <c r="L180" s="34">
        <f t="shared" si="43"/>
        <v>72.1551467387569</v>
      </c>
      <c r="M180" s="101">
        <v>157475</v>
      </c>
      <c r="N180" s="147">
        <f t="shared" si="29"/>
        <v>0.6301294797977973</v>
      </c>
      <c r="O180" s="123"/>
      <c r="P180" s="152">
        <f t="shared" si="30"/>
        <v>0</v>
      </c>
      <c r="Q180" s="150">
        <f t="shared" si="39"/>
        <v>0</v>
      </c>
    </row>
    <row r="181" spans="1:17" s="11" customFormat="1" ht="21">
      <c r="A181" s="163">
        <v>900</v>
      </c>
      <c r="B181" s="9"/>
      <c r="C181" s="9"/>
      <c r="D181" s="10" t="s">
        <v>131</v>
      </c>
      <c r="E181" s="33" t="e">
        <f>E182+E193+E187+#REF!+E189+#REF!+#REF!+E191</f>
        <v>#REF!</v>
      </c>
      <c r="F181" s="33" t="e">
        <f>F182+F193+F187+#REF!+F189+#REF!+#REF!+F191</f>
        <v>#REF!</v>
      </c>
      <c r="G181" s="33" t="e">
        <f>G182+G193+G187+#REF!+G189+#REF!+#REF!+G191</f>
        <v>#REF!</v>
      </c>
      <c r="H181" s="33" t="e">
        <f>H182+H193+H187+#REF!+H189+#REF!+#REF!+H191</f>
        <v>#REF!</v>
      </c>
      <c r="I181" s="41" t="e">
        <f t="shared" si="41"/>
        <v>#REF!</v>
      </c>
      <c r="J181" s="51" t="e">
        <f>J182+J187+#REF!+J189+J191+#REF!+J193</f>
        <v>#REF!</v>
      </c>
      <c r="K181" s="51" t="e">
        <f>K182+K187+#REF!+K189+K191+#REF!+K193</f>
        <v>#REF!</v>
      </c>
      <c r="L181" s="34" t="e">
        <f t="shared" si="43"/>
        <v>#REF!</v>
      </c>
      <c r="M181" s="100">
        <f>M182+M193+M187+M189+M191</f>
        <v>79600</v>
      </c>
      <c r="N181" s="146">
        <f t="shared" si="29"/>
        <v>0.31851599677348574</v>
      </c>
      <c r="O181" s="121">
        <f>O182+O193+O187+O189+O191</f>
        <v>1247397.04</v>
      </c>
      <c r="P181" s="152">
        <f t="shared" si="30"/>
        <v>1567.0817085427136</v>
      </c>
      <c r="Q181" s="138">
        <f t="shared" si="39"/>
        <v>5.370543865254604</v>
      </c>
    </row>
    <row r="182" spans="1:17" s="11" customFormat="1" ht="12.75">
      <c r="A182" s="164"/>
      <c r="B182" s="163">
        <v>90001</v>
      </c>
      <c r="C182" s="9"/>
      <c r="D182" s="10" t="s">
        <v>132</v>
      </c>
      <c r="E182" s="33" t="e">
        <f>E184+#REF!+E183+E185+#REF!</f>
        <v>#REF!</v>
      </c>
      <c r="F182" s="33" t="e">
        <f>F184+#REF!+F183+F185+#REF!</f>
        <v>#REF!</v>
      </c>
      <c r="G182" s="33" t="e">
        <f>G184+#REF!+G183+G185+#REF!</f>
        <v>#REF!</v>
      </c>
      <c r="H182" s="33" t="e">
        <f>H184+#REF!+H183+H185+#REF!</f>
        <v>#REF!</v>
      </c>
      <c r="I182" s="41" t="e">
        <f t="shared" si="41"/>
        <v>#REF!</v>
      </c>
      <c r="J182" s="51" t="e">
        <f>J183+#REF!+J184+#REF!+J185</f>
        <v>#REF!</v>
      </c>
      <c r="K182" s="51" t="e">
        <f>K183+#REF!+K184+#REF!+K185</f>
        <v>#REF!</v>
      </c>
      <c r="L182" s="34" t="e">
        <f t="shared" si="43"/>
        <v>#REF!</v>
      </c>
      <c r="M182" s="100">
        <f>M184+M183+M185</f>
        <v>35500</v>
      </c>
      <c r="N182" s="146">
        <f t="shared" si="29"/>
        <v>0.14205173222938122</v>
      </c>
      <c r="O182" s="121">
        <f>O184+O183+O185</f>
        <v>998297.04</v>
      </c>
      <c r="P182" s="152">
        <f t="shared" si="30"/>
        <v>2812.104338028169</v>
      </c>
      <c r="Q182" s="138">
        <f>O182/$O$249*100</f>
        <v>4.298068595604356</v>
      </c>
    </row>
    <row r="183" spans="1:17" s="16" customFormat="1" ht="12.75">
      <c r="A183" s="164"/>
      <c r="B183" s="164"/>
      <c r="C183" s="13" t="s">
        <v>52</v>
      </c>
      <c r="D183" s="14" t="s">
        <v>53</v>
      </c>
      <c r="E183" s="40">
        <v>11033.49</v>
      </c>
      <c r="F183" s="40">
        <v>12000</v>
      </c>
      <c r="G183" s="40">
        <v>12000</v>
      </c>
      <c r="H183" s="40">
        <v>7580.04</v>
      </c>
      <c r="I183" s="41">
        <f t="shared" si="41"/>
        <v>63.166999999999994</v>
      </c>
      <c r="J183" s="40">
        <v>12000</v>
      </c>
      <c r="K183" s="40">
        <v>9169.01</v>
      </c>
      <c r="L183" s="34">
        <f t="shared" si="43"/>
        <v>76.40841666666667</v>
      </c>
      <c r="M183" s="102">
        <v>11500</v>
      </c>
      <c r="N183" s="147">
        <f t="shared" si="29"/>
        <v>0.046016758327827714</v>
      </c>
      <c r="O183" s="128">
        <v>13000</v>
      </c>
      <c r="P183" s="152">
        <f t="shared" si="30"/>
        <v>113.04347826086956</v>
      </c>
      <c r="Q183" s="150">
        <f t="shared" si="39"/>
        <v>0.05597020676617114</v>
      </c>
    </row>
    <row r="184" spans="1:17" ht="15" customHeight="1">
      <c r="A184" s="164"/>
      <c r="B184" s="166"/>
      <c r="C184" s="13" t="s">
        <v>16</v>
      </c>
      <c r="D184" s="14" t="s">
        <v>17</v>
      </c>
      <c r="E184" s="39">
        <v>14534</v>
      </c>
      <c r="F184" s="40">
        <v>610000</v>
      </c>
      <c r="G184" s="39">
        <v>30000</v>
      </c>
      <c r="H184" s="39">
        <v>19856</v>
      </c>
      <c r="I184" s="41">
        <f>(H184/G184)*100</f>
        <v>66.18666666666667</v>
      </c>
      <c r="J184" s="40">
        <v>30000</v>
      </c>
      <c r="K184" s="40">
        <v>19856</v>
      </c>
      <c r="L184" s="34">
        <f t="shared" si="43"/>
        <v>66.18666666666667</v>
      </c>
      <c r="M184" s="102">
        <v>24000</v>
      </c>
      <c r="N184" s="147">
        <f t="shared" si="29"/>
        <v>0.0960349739015535</v>
      </c>
      <c r="O184" s="123">
        <v>25000</v>
      </c>
      <c r="P184" s="152">
        <f t="shared" si="30"/>
        <v>104.16666666666667</v>
      </c>
      <c r="Q184" s="150">
        <f t="shared" si="39"/>
        <v>0.10763501301186758</v>
      </c>
    </row>
    <row r="185" spans="1:17" ht="45">
      <c r="A185" s="164"/>
      <c r="B185" s="167"/>
      <c r="C185" s="13" t="s">
        <v>159</v>
      </c>
      <c r="D185" s="14" t="s">
        <v>136</v>
      </c>
      <c r="E185" s="39"/>
      <c r="F185" s="40">
        <v>42600</v>
      </c>
      <c r="G185" s="39">
        <v>42600</v>
      </c>
      <c r="H185" s="39"/>
      <c r="I185" s="41"/>
      <c r="J185" s="40">
        <v>42600</v>
      </c>
      <c r="K185" s="40"/>
      <c r="L185" s="34">
        <f t="shared" si="43"/>
        <v>0</v>
      </c>
      <c r="M185" s="102"/>
      <c r="N185" s="147">
        <f t="shared" si="29"/>
        <v>0</v>
      </c>
      <c r="O185" s="123">
        <v>960297.04</v>
      </c>
      <c r="P185" s="152"/>
      <c r="Q185" s="150">
        <f t="shared" si="39"/>
        <v>4.134463375826317</v>
      </c>
    </row>
    <row r="186" spans="1:17" ht="15" customHeight="1">
      <c r="A186" s="164"/>
      <c r="B186" s="70"/>
      <c r="C186" s="13"/>
      <c r="D186" s="88" t="s">
        <v>236</v>
      </c>
      <c r="E186" s="39"/>
      <c r="F186" s="40"/>
      <c r="G186" s="39"/>
      <c r="H186" s="39"/>
      <c r="I186" s="41"/>
      <c r="J186" s="40"/>
      <c r="K186" s="40"/>
      <c r="L186" s="34"/>
      <c r="M186" s="103"/>
      <c r="N186" s="147">
        <f t="shared" si="29"/>
        <v>0</v>
      </c>
      <c r="O186" s="124">
        <v>960297.04</v>
      </c>
      <c r="P186" s="152"/>
      <c r="Q186" s="150">
        <f t="shared" si="39"/>
        <v>4.134463375826317</v>
      </c>
    </row>
    <row r="187" spans="1:17" s="11" customFormat="1" ht="18.75" customHeight="1">
      <c r="A187" s="164"/>
      <c r="B187" s="163" t="s">
        <v>134</v>
      </c>
      <c r="C187" s="9"/>
      <c r="D187" s="10" t="s">
        <v>135</v>
      </c>
      <c r="E187" s="38">
        <f aca="true" t="shared" si="44" ref="E187:K187">E188</f>
        <v>0</v>
      </c>
      <c r="F187" s="38">
        <f t="shared" si="44"/>
        <v>0</v>
      </c>
      <c r="G187" s="38">
        <f t="shared" si="44"/>
        <v>0</v>
      </c>
      <c r="H187" s="38">
        <f t="shared" si="44"/>
        <v>0</v>
      </c>
      <c r="I187" s="38" t="e">
        <f t="shared" si="44"/>
        <v>#DIV/0!</v>
      </c>
      <c r="J187" s="33">
        <f t="shared" si="44"/>
        <v>0</v>
      </c>
      <c r="K187" s="33">
        <f t="shared" si="44"/>
        <v>0</v>
      </c>
      <c r="L187" s="34" t="e">
        <f>K187/J187*100</f>
        <v>#DIV/0!</v>
      </c>
      <c r="M187" s="100">
        <f>M188</f>
        <v>0</v>
      </c>
      <c r="N187" s="146">
        <f t="shared" si="29"/>
        <v>0</v>
      </c>
      <c r="O187" s="121">
        <f>O188</f>
        <v>200000</v>
      </c>
      <c r="P187" s="152"/>
      <c r="Q187" s="138">
        <f t="shared" si="39"/>
        <v>0.8610801040949406</v>
      </c>
    </row>
    <row r="188" spans="1:17" ht="13.5" customHeight="1">
      <c r="A188" s="164"/>
      <c r="B188" s="166"/>
      <c r="C188" s="13" t="s">
        <v>10</v>
      </c>
      <c r="D188" s="29" t="s">
        <v>79</v>
      </c>
      <c r="E188" s="39"/>
      <c r="F188" s="40"/>
      <c r="G188" s="39"/>
      <c r="H188" s="39"/>
      <c r="I188" s="41" t="e">
        <f>(H188/G188)*100</f>
        <v>#DIV/0!</v>
      </c>
      <c r="J188" s="40"/>
      <c r="K188" s="40"/>
      <c r="L188" s="34" t="e">
        <f>K188/J188*100</f>
        <v>#DIV/0!</v>
      </c>
      <c r="M188" s="102"/>
      <c r="N188" s="147">
        <f t="shared" si="29"/>
        <v>0</v>
      </c>
      <c r="O188" s="123">
        <v>200000</v>
      </c>
      <c r="P188" s="152"/>
      <c r="Q188" s="150">
        <f t="shared" si="39"/>
        <v>0.8610801040949406</v>
      </c>
    </row>
    <row r="189" spans="1:17" s="11" customFormat="1" ht="12.75">
      <c r="A189" s="164"/>
      <c r="B189" s="163" t="s">
        <v>137</v>
      </c>
      <c r="C189" s="9"/>
      <c r="D189" s="10" t="s">
        <v>138</v>
      </c>
      <c r="E189" s="38" t="e">
        <f>#REF!+E190</f>
        <v>#REF!</v>
      </c>
      <c r="F189" s="38" t="e">
        <f>#REF!+F190</f>
        <v>#REF!</v>
      </c>
      <c r="G189" s="38" t="e">
        <f>#REF!+G190</f>
        <v>#REF!</v>
      </c>
      <c r="H189" s="38" t="e">
        <f>#REF!+H190</f>
        <v>#REF!</v>
      </c>
      <c r="I189" s="38" t="e">
        <f>#REF!+I190</f>
        <v>#REF!</v>
      </c>
      <c r="J189" s="38" t="e">
        <f>#REF!+J190</f>
        <v>#REF!</v>
      </c>
      <c r="K189" s="38" t="e">
        <f>#REF!+K190</f>
        <v>#REF!</v>
      </c>
      <c r="L189" s="38" t="e">
        <f>#REF!+L190</f>
        <v>#REF!</v>
      </c>
      <c r="M189" s="105">
        <f>M190</f>
        <v>100</v>
      </c>
      <c r="N189" s="146">
        <f t="shared" si="29"/>
        <v>0.0004001457245898062</v>
      </c>
      <c r="O189" s="127">
        <f>O190</f>
        <v>100</v>
      </c>
      <c r="P189" s="152">
        <f t="shared" si="30"/>
        <v>100</v>
      </c>
      <c r="Q189" s="138">
        <f t="shared" si="39"/>
        <v>0.0004305400520474703</v>
      </c>
    </row>
    <row r="190" spans="1:17" s="16" customFormat="1" ht="12.75">
      <c r="A190" s="164"/>
      <c r="B190" s="164"/>
      <c r="C190" s="13" t="s">
        <v>14</v>
      </c>
      <c r="D190" s="14" t="s">
        <v>188</v>
      </c>
      <c r="E190" s="39"/>
      <c r="F190" s="39"/>
      <c r="G190" s="39"/>
      <c r="H190" s="39">
        <v>100</v>
      </c>
      <c r="I190" s="41"/>
      <c r="J190" s="35"/>
      <c r="K190" s="35">
        <v>100</v>
      </c>
      <c r="L190" s="37"/>
      <c r="M190" s="102">
        <v>100</v>
      </c>
      <c r="N190" s="147">
        <f t="shared" si="29"/>
        <v>0.0004001457245898062</v>
      </c>
      <c r="O190" s="128">
        <v>100</v>
      </c>
      <c r="P190" s="152">
        <f t="shared" si="30"/>
        <v>100</v>
      </c>
      <c r="Q190" s="150">
        <f t="shared" si="39"/>
        <v>0.0004305400520474703</v>
      </c>
    </row>
    <row r="191" spans="1:17" ht="31.5">
      <c r="A191" s="164"/>
      <c r="B191" s="21">
        <v>90019</v>
      </c>
      <c r="C191" s="9"/>
      <c r="D191" s="10" t="s">
        <v>163</v>
      </c>
      <c r="E191" s="38">
        <f aca="true" t="shared" si="45" ref="E191:K191">E192</f>
        <v>21541.25</v>
      </c>
      <c r="F191" s="38">
        <f t="shared" si="45"/>
        <v>25000</v>
      </c>
      <c r="G191" s="38">
        <f t="shared" si="45"/>
        <v>2000</v>
      </c>
      <c r="H191" s="38">
        <f t="shared" si="45"/>
        <v>12526.57</v>
      </c>
      <c r="I191" s="38">
        <f t="shared" si="45"/>
        <v>0</v>
      </c>
      <c r="J191" s="33">
        <f t="shared" si="45"/>
        <v>2000</v>
      </c>
      <c r="K191" s="33">
        <f t="shared" si="45"/>
        <v>12526.57</v>
      </c>
      <c r="L191" s="34">
        <f aca="true" t="shared" si="46" ref="L191:L206">K191/J191*100</f>
        <v>626.3285</v>
      </c>
      <c r="M191" s="100">
        <f>M192</f>
        <v>15000</v>
      </c>
      <c r="N191" s="146">
        <f t="shared" si="29"/>
        <v>0.06002185868847094</v>
      </c>
      <c r="O191" s="121">
        <f>O192</f>
        <v>17000</v>
      </c>
      <c r="P191" s="152">
        <f t="shared" si="30"/>
        <v>113.33333333333333</v>
      </c>
      <c r="Q191" s="138">
        <f t="shared" si="39"/>
        <v>0.07319180884806994</v>
      </c>
    </row>
    <row r="192" spans="1:17" ht="12.75">
      <c r="A192" s="164"/>
      <c r="B192" s="22"/>
      <c r="C192" s="13" t="s">
        <v>10</v>
      </c>
      <c r="D192" s="14" t="s">
        <v>11</v>
      </c>
      <c r="E192" s="39">
        <v>21541.25</v>
      </c>
      <c r="F192" s="40">
        <v>25000</v>
      </c>
      <c r="G192" s="39">
        <v>2000</v>
      </c>
      <c r="H192" s="39">
        <v>12526.57</v>
      </c>
      <c r="I192" s="41"/>
      <c r="J192" s="40">
        <v>2000</v>
      </c>
      <c r="K192" s="40">
        <v>12526.57</v>
      </c>
      <c r="L192" s="34">
        <f t="shared" si="46"/>
        <v>626.3285</v>
      </c>
      <c r="M192" s="102">
        <v>15000</v>
      </c>
      <c r="N192" s="147">
        <f t="shared" si="29"/>
        <v>0.06002185868847094</v>
      </c>
      <c r="O192" s="123">
        <v>17000</v>
      </c>
      <c r="P192" s="152">
        <f t="shared" si="30"/>
        <v>113.33333333333333</v>
      </c>
      <c r="Q192" s="150">
        <f>O192/$O$249*100</f>
        <v>0.07319180884806994</v>
      </c>
    </row>
    <row r="193" spans="1:17" s="11" customFormat="1" ht="12.75">
      <c r="A193" s="164"/>
      <c r="B193" s="163">
        <v>90095</v>
      </c>
      <c r="C193" s="9"/>
      <c r="D193" s="10" t="s">
        <v>19</v>
      </c>
      <c r="E193" s="33" t="e">
        <f>E194+#REF!</f>
        <v>#REF!</v>
      </c>
      <c r="F193" s="33" t="e">
        <f>F194+#REF!</f>
        <v>#REF!</v>
      </c>
      <c r="G193" s="33" t="e">
        <f>G194+#REF!</f>
        <v>#REF!</v>
      </c>
      <c r="H193" s="33" t="e">
        <f>H194+#REF!</f>
        <v>#REF!</v>
      </c>
      <c r="I193" s="41" t="e">
        <f>(H193/G193)*100</f>
        <v>#REF!</v>
      </c>
      <c r="J193" s="51" t="e">
        <f>J194+#REF!</f>
        <v>#REF!</v>
      </c>
      <c r="K193" s="51" t="e">
        <f>K194+#REF!</f>
        <v>#REF!</v>
      </c>
      <c r="L193" s="34" t="e">
        <f t="shared" si="46"/>
        <v>#REF!</v>
      </c>
      <c r="M193" s="100">
        <f>M194</f>
        <v>29000</v>
      </c>
      <c r="N193" s="146">
        <f t="shared" si="29"/>
        <v>0.1160422601310438</v>
      </c>
      <c r="O193" s="121">
        <f>O194</f>
        <v>32000</v>
      </c>
      <c r="P193" s="152">
        <f t="shared" si="30"/>
        <v>110.34482758620689</v>
      </c>
      <c r="Q193" s="138">
        <f aca="true" t="shared" si="47" ref="Q193:Q207">O193/$O$249*100</f>
        <v>0.1377728166551905</v>
      </c>
    </row>
    <row r="194" spans="1:17" ht="12.75">
      <c r="A194" s="164"/>
      <c r="B194" s="166"/>
      <c r="C194" s="13" t="s">
        <v>52</v>
      </c>
      <c r="D194" s="14" t="s">
        <v>53</v>
      </c>
      <c r="E194" s="39">
        <v>27193.52</v>
      </c>
      <c r="F194" s="40">
        <v>23500</v>
      </c>
      <c r="G194" s="39">
        <v>23500</v>
      </c>
      <c r="H194" s="39">
        <v>19538.89</v>
      </c>
      <c r="I194" s="41">
        <f>(H194/G194)*100</f>
        <v>83.14421276595745</v>
      </c>
      <c r="J194" s="40">
        <v>23500</v>
      </c>
      <c r="K194" s="40">
        <v>24401.85</v>
      </c>
      <c r="L194" s="34">
        <f t="shared" si="46"/>
        <v>103.83765957446809</v>
      </c>
      <c r="M194" s="102">
        <v>29000</v>
      </c>
      <c r="N194" s="147">
        <f t="shared" si="29"/>
        <v>0.1160422601310438</v>
      </c>
      <c r="O194" s="123">
        <v>32000</v>
      </c>
      <c r="P194" s="152">
        <f t="shared" si="30"/>
        <v>110.34482758620689</v>
      </c>
      <c r="Q194" s="150">
        <f t="shared" si="47"/>
        <v>0.1377728166551905</v>
      </c>
    </row>
    <row r="195" spans="1:17" s="11" customFormat="1" ht="21">
      <c r="A195" s="163">
        <v>921</v>
      </c>
      <c r="B195" s="9"/>
      <c r="C195" s="9"/>
      <c r="D195" s="10" t="s">
        <v>139</v>
      </c>
      <c r="E195" s="33" t="e">
        <f>E196+E198</f>
        <v>#REF!</v>
      </c>
      <c r="F195" s="33" t="e">
        <f>F196+F198</f>
        <v>#REF!</v>
      </c>
      <c r="G195" s="33" t="e">
        <f>G196+G198</f>
        <v>#REF!</v>
      </c>
      <c r="H195" s="33" t="e">
        <f>H196+H198</f>
        <v>#REF!</v>
      </c>
      <c r="I195" s="33" t="e">
        <f>I196+I198+#REF!</f>
        <v>#REF!</v>
      </c>
      <c r="J195" s="33" t="e">
        <f>J196+J198</f>
        <v>#REF!</v>
      </c>
      <c r="K195" s="33" t="e">
        <f>K196+K198</f>
        <v>#REF!</v>
      </c>
      <c r="L195" s="34" t="e">
        <f t="shared" si="46"/>
        <v>#REF!</v>
      </c>
      <c r="M195" s="100">
        <f>M196+M198</f>
        <v>9216</v>
      </c>
      <c r="N195" s="146">
        <f t="shared" si="29"/>
        <v>0.03687742997819654</v>
      </c>
      <c r="O195" s="121">
        <f>O196+O198</f>
        <v>9250</v>
      </c>
      <c r="P195" s="152">
        <f t="shared" si="30"/>
        <v>100.36892361111111</v>
      </c>
      <c r="Q195" s="138">
        <f t="shared" si="47"/>
        <v>0.039824954814391</v>
      </c>
    </row>
    <row r="196" spans="1:17" ht="12.75">
      <c r="A196" s="164"/>
      <c r="B196" s="170">
        <v>92109</v>
      </c>
      <c r="C196" s="13"/>
      <c r="D196" s="14" t="s">
        <v>140</v>
      </c>
      <c r="E196" s="40" t="e">
        <f>#REF!+E197+#REF!</f>
        <v>#REF!</v>
      </c>
      <c r="F196" s="40" t="e">
        <f>#REF!+F197+#REF!</f>
        <v>#REF!</v>
      </c>
      <c r="G196" s="40" t="e">
        <f>#REF!+G197+#REF!</f>
        <v>#REF!</v>
      </c>
      <c r="H196" s="40" t="e">
        <f>#REF!+H197+#REF!</f>
        <v>#REF!</v>
      </c>
      <c r="I196" s="41" t="e">
        <f>(H196/G196)*100</f>
        <v>#REF!</v>
      </c>
      <c r="J196" s="40" t="e">
        <f>#REF!+J197+#REF!</f>
        <v>#REF!</v>
      </c>
      <c r="K196" s="40" t="e">
        <f>#REF!+K197+#REF!</f>
        <v>#REF!</v>
      </c>
      <c r="L196" s="41" t="e">
        <f t="shared" si="46"/>
        <v>#REF!</v>
      </c>
      <c r="M196" s="102">
        <f>M197</f>
        <v>5000</v>
      </c>
      <c r="N196" s="147">
        <f t="shared" si="29"/>
        <v>0.02000728622949031</v>
      </c>
      <c r="O196" s="128">
        <f>O197</f>
        <v>5000</v>
      </c>
      <c r="P196" s="152">
        <f t="shared" si="30"/>
        <v>100</v>
      </c>
      <c r="Q196" s="138">
        <f t="shared" si="47"/>
        <v>0.021527002602373516</v>
      </c>
    </row>
    <row r="197" spans="1:17" ht="45">
      <c r="A197" s="164"/>
      <c r="B197" s="170"/>
      <c r="C197" s="13" t="s">
        <v>141</v>
      </c>
      <c r="D197" s="14" t="s">
        <v>197</v>
      </c>
      <c r="E197" s="39">
        <v>5000</v>
      </c>
      <c r="F197" s="40">
        <v>5000</v>
      </c>
      <c r="G197" s="39">
        <v>5000</v>
      </c>
      <c r="H197" s="39">
        <v>5000</v>
      </c>
      <c r="I197" s="41">
        <f>(H197/G197)*100</f>
        <v>100</v>
      </c>
      <c r="J197" s="40">
        <v>5000</v>
      </c>
      <c r="K197" s="40">
        <v>5000</v>
      </c>
      <c r="L197" s="41">
        <f t="shared" si="46"/>
        <v>100</v>
      </c>
      <c r="M197" s="102">
        <v>5000</v>
      </c>
      <c r="N197" s="147">
        <f aca="true" t="shared" si="48" ref="N197:N258">M197/$M$249*100</f>
        <v>0.02000728622949031</v>
      </c>
      <c r="O197" s="123">
        <v>5000</v>
      </c>
      <c r="P197" s="152">
        <f t="shared" si="30"/>
        <v>100</v>
      </c>
      <c r="Q197" s="150">
        <f t="shared" si="47"/>
        <v>0.021527002602373516</v>
      </c>
    </row>
    <row r="198" spans="1:17" ht="12.75">
      <c r="A198" s="166"/>
      <c r="B198" s="9" t="s">
        <v>142</v>
      </c>
      <c r="C198" s="13"/>
      <c r="D198" s="14" t="s">
        <v>150</v>
      </c>
      <c r="E198" s="56">
        <f>E199</f>
        <v>4216</v>
      </c>
      <c r="F198" s="56">
        <f>F199</f>
        <v>4250</v>
      </c>
      <c r="G198" s="56">
        <f>G199</f>
        <v>4250</v>
      </c>
      <c r="H198" s="56">
        <f>H199</f>
        <v>2108</v>
      </c>
      <c r="I198" s="36">
        <f>(H198/G198)*100</f>
        <v>49.6</v>
      </c>
      <c r="J198" s="51">
        <f>J199</f>
        <v>4250</v>
      </c>
      <c r="K198" s="51">
        <f>K199</f>
        <v>4216</v>
      </c>
      <c r="L198" s="36">
        <f t="shared" si="46"/>
        <v>99.2</v>
      </c>
      <c r="M198" s="104">
        <f>M199</f>
        <v>4216</v>
      </c>
      <c r="N198" s="146">
        <f t="shared" si="48"/>
        <v>0.01687014374870623</v>
      </c>
      <c r="O198" s="126">
        <f>O199</f>
        <v>4250</v>
      </c>
      <c r="P198" s="152">
        <f t="shared" si="30"/>
        <v>100.80645161290323</v>
      </c>
      <c r="Q198" s="138">
        <f t="shared" si="47"/>
        <v>0.018297952212017486</v>
      </c>
    </row>
    <row r="199" spans="1:17" ht="45">
      <c r="A199" s="166"/>
      <c r="B199" s="9"/>
      <c r="C199" s="13" t="s">
        <v>141</v>
      </c>
      <c r="D199" s="14" t="s">
        <v>198</v>
      </c>
      <c r="E199" s="39">
        <v>4216</v>
      </c>
      <c r="F199" s="40">
        <v>4250</v>
      </c>
      <c r="G199" s="39">
        <v>4250</v>
      </c>
      <c r="H199" s="39">
        <v>2108</v>
      </c>
      <c r="I199" s="41">
        <f>(H199/G199)*100</f>
        <v>49.6</v>
      </c>
      <c r="J199" s="40">
        <v>4250</v>
      </c>
      <c r="K199" s="40">
        <v>4216</v>
      </c>
      <c r="L199" s="41">
        <f t="shared" si="46"/>
        <v>99.2</v>
      </c>
      <c r="M199" s="102">
        <v>4216</v>
      </c>
      <c r="N199" s="147">
        <f t="shared" si="48"/>
        <v>0.01687014374870623</v>
      </c>
      <c r="O199" s="122">
        <v>4250</v>
      </c>
      <c r="P199" s="152">
        <f t="shared" si="30"/>
        <v>100.80645161290323</v>
      </c>
      <c r="Q199" s="150">
        <f t="shared" si="47"/>
        <v>0.018297952212017486</v>
      </c>
    </row>
    <row r="200" spans="1:17" s="11" customFormat="1" ht="12.75">
      <c r="A200" s="163" t="s">
        <v>143</v>
      </c>
      <c r="B200" s="9"/>
      <c r="C200" s="9"/>
      <c r="D200" s="10" t="s">
        <v>144</v>
      </c>
      <c r="E200" s="38" t="e">
        <f>#REF!+E201+E213</f>
        <v>#REF!</v>
      </c>
      <c r="F200" s="38" t="e">
        <f>#REF!+F201+F213</f>
        <v>#REF!</v>
      </c>
      <c r="G200" s="38" t="e">
        <f>#REF!+G201+G213</f>
        <v>#REF!</v>
      </c>
      <c r="H200" s="38" t="e">
        <f>#REF!+H201+H213</f>
        <v>#REF!</v>
      </c>
      <c r="I200" s="36" t="e">
        <f>(H200/G200)*100</f>
        <v>#REF!</v>
      </c>
      <c r="J200" s="51" t="e">
        <f>J201+#REF!+J213</f>
        <v>#REF!</v>
      </c>
      <c r="K200" s="51" t="e">
        <f>K201+#REF!+K213</f>
        <v>#REF!</v>
      </c>
      <c r="L200" s="34" t="e">
        <f t="shared" si="46"/>
        <v>#REF!</v>
      </c>
      <c r="M200" s="100">
        <f>M201+M213</f>
        <v>1275276.93</v>
      </c>
      <c r="N200" s="146">
        <f t="shared" si="48"/>
        <v>5.102966112075135</v>
      </c>
      <c r="O200" s="121">
        <f>O201+O213</f>
        <v>575496.04</v>
      </c>
      <c r="P200" s="152">
        <f aca="true" t="shared" si="49" ref="P200:P214">(O200/M200)*100</f>
        <v>45.12714269833142</v>
      </c>
      <c r="Q200" s="138">
        <f t="shared" si="47"/>
        <v>2.4777409501471306</v>
      </c>
    </row>
    <row r="201" spans="1:17" s="11" customFormat="1" ht="12.75">
      <c r="A201" s="164"/>
      <c r="B201" s="163" t="s">
        <v>145</v>
      </c>
      <c r="C201" s="9"/>
      <c r="D201" s="10" t="s">
        <v>149</v>
      </c>
      <c r="E201" s="38" t="e">
        <f>E204+E206+#REF!+E202+E203+E205+E209+E211</f>
        <v>#REF!</v>
      </c>
      <c r="F201" s="38" t="e">
        <f>F204+F206+#REF!+F202+F203+F205+F209+F211</f>
        <v>#REF!</v>
      </c>
      <c r="G201" s="38" t="e">
        <f>G204+G206+#REF!+G202+G203+G205+G209+G211</f>
        <v>#REF!</v>
      </c>
      <c r="H201" s="38" t="e">
        <f>H204+H206+#REF!+H202+H203+H205+H209+H211</f>
        <v>#REF!</v>
      </c>
      <c r="I201" s="38" t="e">
        <f>I204+I206+#REF!+I202+I203+I205+I209+I211</f>
        <v>#REF!</v>
      </c>
      <c r="J201" s="38" t="e">
        <f>J204+J206+#REF!+J202+J203+J205+J209+J211</f>
        <v>#REF!</v>
      </c>
      <c r="K201" s="38" t="e">
        <f>K204+K206+#REF!+K202+K203+K205+K209+K211</f>
        <v>#REF!</v>
      </c>
      <c r="L201" s="34" t="e">
        <f t="shared" si="46"/>
        <v>#REF!</v>
      </c>
      <c r="M201" s="105">
        <f>M204+M206+M202+M203+M205+M209+M211</f>
        <v>1030064.9299999999</v>
      </c>
      <c r="N201" s="146">
        <f t="shared" si="48"/>
        <v>4.1217607778939795</v>
      </c>
      <c r="O201" s="127">
        <f>O204+O206+O202+O203+O205+O209+O211</f>
        <v>301300</v>
      </c>
      <c r="P201" s="152">
        <f t="shared" si="49"/>
        <v>29.25058326177555</v>
      </c>
      <c r="Q201" s="138">
        <f t="shared" si="47"/>
        <v>1.297217176819028</v>
      </c>
    </row>
    <row r="202" spans="1:17" s="16" customFormat="1" ht="56.25">
      <c r="A202" s="164"/>
      <c r="B202" s="168"/>
      <c r="C202" s="87" t="s">
        <v>24</v>
      </c>
      <c r="D202" s="14" t="s">
        <v>210</v>
      </c>
      <c r="E202" s="39">
        <v>14134.71</v>
      </c>
      <c r="F202" s="39">
        <v>14490</v>
      </c>
      <c r="G202" s="39">
        <v>14490</v>
      </c>
      <c r="H202" s="39">
        <v>9935.42</v>
      </c>
      <c r="I202" s="41">
        <f>(H202/G202)*100</f>
        <v>68.56742581090407</v>
      </c>
      <c r="J202" s="40">
        <v>14490</v>
      </c>
      <c r="K202" s="40">
        <v>9935.42</v>
      </c>
      <c r="L202" s="41">
        <f t="shared" si="46"/>
        <v>68.56742581090407</v>
      </c>
      <c r="M202" s="102">
        <v>11928.62</v>
      </c>
      <c r="N202" s="147">
        <f t="shared" si="48"/>
        <v>0.047731862932564546</v>
      </c>
      <c r="O202" s="128">
        <v>9600</v>
      </c>
      <c r="P202" s="152">
        <f t="shared" si="49"/>
        <v>80.47871421840917</v>
      </c>
      <c r="Q202" s="150">
        <f t="shared" si="47"/>
        <v>0.04133184499655715</v>
      </c>
    </row>
    <row r="203" spans="1:17" s="16" customFormat="1" ht="12.75">
      <c r="A203" s="164"/>
      <c r="B203" s="168"/>
      <c r="C203" s="13" t="s">
        <v>52</v>
      </c>
      <c r="D203" s="14" t="s">
        <v>53</v>
      </c>
      <c r="E203" s="39">
        <v>108768.67</v>
      </c>
      <c r="F203" s="39">
        <v>60500</v>
      </c>
      <c r="G203" s="39">
        <v>72180</v>
      </c>
      <c r="H203" s="39">
        <v>51489.7</v>
      </c>
      <c r="I203" s="41">
        <f>(H203/G203)*100</f>
        <v>71.33513438625657</v>
      </c>
      <c r="J203" s="40">
        <v>72180</v>
      </c>
      <c r="K203" s="40">
        <v>51489.7</v>
      </c>
      <c r="L203" s="41">
        <f t="shared" si="46"/>
        <v>71.33513438625657</v>
      </c>
      <c r="M203" s="102">
        <v>77537.7</v>
      </c>
      <c r="N203" s="147">
        <f t="shared" si="48"/>
        <v>0.31026379149527017</v>
      </c>
      <c r="O203" s="128">
        <v>60500</v>
      </c>
      <c r="P203" s="152">
        <f t="shared" si="49"/>
        <v>78.0265599830792</v>
      </c>
      <c r="Q203" s="150">
        <f t="shared" si="47"/>
        <v>0.2604767314887195</v>
      </c>
    </row>
    <row r="204" spans="1:17" s="16" customFormat="1" ht="12.75">
      <c r="A204" s="164"/>
      <c r="B204" s="168"/>
      <c r="C204" s="13" t="s">
        <v>41</v>
      </c>
      <c r="D204" s="14" t="s">
        <v>42</v>
      </c>
      <c r="E204" s="39">
        <v>243.22</v>
      </c>
      <c r="F204" s="39">
        <v>200</v>
      </c>
      <c r="G204" s="39">
        <v>200</v>
      </c>
      <c r="H204" s="39">
        <v>178.27</v>
      </c>
      <c r="I204" s="41">
        <f>(H204/G204)*100</f>
        <v>89.135</v>
      </c>
      <c r="J204" s="40">
        <v>200</v>
      </c>
      <c r="K204" s="40">
        <v>178.27</v>
      </c>
      <c r="L204" s="41">
        <f t="shared" si="46"/>
        <v>89.135</v>
      </c>
      <c r="M204" s="102">
        <v>200</v>
      </c>
      <c r="N204" s="147">
        <f t="shared" si="48"/>
        <v>0.0008002914491796124</v>
      </c>
      <c r="O204" s="128">
        <v>200</v>
      </c>
      <c r="P204" s="152">
        <f t="shared" si="49"/>
        <v>100</v>
      </c>
      <c r="Q204" s="150">
        <f t="shared" si="47"/>
        <v>0.0008610801040949406</v>
      </c>
    </row>
    <row r="205" spans="1:17" s="16" customFormat="1" ht="12.75">
      <c r="A205" s="164"/>
      <c r="B205" s="168"/>
      <c r="C205" s="13" t="s">
        <v>16</v>
      </c>
      <c r="D205" s="14" t="s">
        <v>17</v>
      </c>
      <c r="E205" s="39">
        <v>3692.39</v>
      </c>
      <c r="F205" s="39">
        <v>100</v>
      </c>
      <c r="G205" s="39">
        <v>1000</v>
      </c>
      <c r="H205" s="39">
        <v>915.5</v>
      </c>
      <c r="I205" s="41">
        <f>(H205/G205)*100</f>
        <v>91.55</v>
      </c>
      <c r="J205" s="40">
        <v>1000</v>
      </c>
      <c r="K205" s="40">
        <v>915.5</v>
      </c>
      <c r="L205" s="41">
        <f t="shared" si="46"/>
        <v>91.55</v>
      </c>
      <c r="M205" s="102">
        <v>915.5</v>
      </c>
      <c r="N205" s="147">
        <f t="shared" si="48"/>
        <v>0.003663334108619676</v>
      </c>
      <c r="O205" s="128">
        <v>1000</v>
      </c>
      <c r="P205" s="152">
        <f t="shared" si="49"/>
        <v>109.22992900054615</v>
      </c>
      <c r="Q205" s="150">
        <f t="shared" si="47"/>
        <v>0.004305400520474703</v>
      </c>
    </row>
    <row r="206" spans="1:17" s="16" customFormat="1" ht="56.25">
      <c r="A206" s="164"/>
      <c r="B206" s="168"/>
      <c r="C206" s="13" t="s">
        <v>159</v>
      </c>
      <c r="D206" s="14" t="s">
        <v>133</v>
      </c>
      <c r="E206" s="39"/>
      <c r="F206" s="39">
        <v>106483.11</v>
      </c>
      <c r="G206" s="39">
        <v>336483.11</v>
      </c>
      <c r="H206" s="39"/>
      <c r="I206" s="41">
        <f>(H206/G206)*100</f>
        <v>0</v>
      </c>
      <c r="J206" s="40">
        <v>106483.11</v>
      </c>
      <c r="K206" s="40"/>
      <c r="L206" s="41">
        <f t="shared" si="46"/>
        <v>0</v>
      </c>
      <c r="M206" s="102">
        <v>106483.11</v>
      </c>
      <c r="N206" s="147">
        <f t="shared" si="48"/>
        <v>0.4260876120752604</v>
      </c>
      <c r="O206" s="128">
        <v>230000</v>
      </c>
      <c r="P206" s="152">
        <f t="shared" si="49"/>
        <v>215.99669656530506</v>
      </c>
      <c r="Q206" s="150">
        <f t="shared" si="47"/>
        <v>0.9902421197091816</v>
      </c>
    </row>
    <row r="207" spans="1:17" s="16" customFormat="1" ht="12.75">
      <c r="A207" s="164"/>
      <c r="B207" s="168"/>
      <c r="C207" s="13"/>
      <c r="D207" s="72" t="s">
        <v>237</v>
      </c>
      <c r="E207" s="73"/>
      <c r="F207" s="73"/>
      <c r="G207" s="73"/>
      <c r="H207" s="73"/>
      <c r="I207" s="74"/>
      <c r="J207" s="75"/>
      <c r="K207" s="75"/>
      <c r="L207" s="74"/>
      <c r="M207" s="108">
        <v>106483.11</v>
      </c>
      <c r="N207" s="147">
        <f t="shared" si="48"/>
        <v>0.4260876120752604</v>
      </c>
      <c r="O207" s="129"/>
      <c r="P207" s="152">
        <f t="shared" si="49"/>
        <v>0</v>
      </c>
      <c r="Q207" s="150">
        <f t="shared" si="47"/>
        <v>0</v>
      </c>
    </row>
    <row r="208" spans="1:17" s="16" customFormat="1" ht="12.75">
      <c r="A208" s="164"/>
      <c r="B208" s="168"/>
      <c r="C208" s="13"/>
      <c r="D208" s="72" t="s">
        <v>238</v>
      </c>
      <c r="E208" s="73"/>
      <c r="F208" s="73"/>
      <c r="G208" s="73"/>
      <c r="H208" s="73"/>
      <c r="I208" s="74"/>
      <c r="J208" s="75"/>
      <c r="K208" s="75"/>
      <c r="L208" s="74"/>
      <c r="M208" s="108"/>
      <c r="N208" s="147">
        <f t="shared" si="48"/>
        <v>0</v>
      </c>
      <c r="O208" s="129"/>
      <c r="P208" s="152"/>
      <c r="Q208" s="150">
        <f>O208/$O$249*100</f>
        <v>0</v>
      </c>
    </row>
    <row r="209" spans="1:17" s="16" customFormat="1" ht="45">
      <c r="A209" s="164"/>
      <c r="B209" s="168"/>
      <c r="C209" s="13" t="s">
        <v>178</v>
      </c>
      <c r="D209" s="14" t="s">
        <v>158</v>
      </c>
      <c r="E209" s="39"/>
      <c r="F209" s="39"/>
      <c r="G209" s="39">
        <v>500000</v>
      </c>
      <c r="H209" s="39"/>
      <c r="I209" s="41"/>
      <c r="J209" s="40">
        <v>500000</v>
      </c>
      <c r="K209" s="40">
        <v>500000</v>
      </c>
      <c r="L209" s="34"/>
      <c r="M209" s="102">
        <v>500000</v>
      </c>
      <c r="N209" s="147">
        <f t="shared" si="48"/>
        <v>2.000728622949031</v>
      </c>
      <c r="O209" s="128"/>
      <c r="P209" s="152">
        <f t="shared" si="49"/>
        <v>0</v>
      </c>
      <c r="Q209" s="150">
        <f aca="true" t="shared" si="50" ref="Q209:Q258">O209/$O$249*100</f>
        <v>0</v>
      </c>
    </row>
    <row r="210" spans="1:17" s="16" customFormat="1" ht="12.75">
      <c r="A210" s="164"/>
      <c r="B210" s="168"/>
      <c r="C210" s="13"/>
      <c r="D210" s="32" t="s">
        <v>239</v>
      </c>
      <c r="E210" s="42"/>
      <c r="F210" s="42"/>
      <c r="G210" s="42"/>
      <c r="H210" s="42"/>
      <c r="I210" s="44"/>
      <c r="J210" s="43"/>
      <c r="K210" s="43"/>
      <c r="L210" s="57"/>
      <c r="M210" s="103">
        <v>500000</v>
      </c>
      <c r="N210" s="147">
        <f t="shared" si="48"/>
        <v>2.000728622949031</v>
      </c>
      <c r="O210" s="128"/>
      <c r="P210" s="152">
        <f t="shared" si="49"/>
        <v>0</v>
      </c>
      <c r="Q210" s="150">
        <f t="shared" si="50"/>
        <v>0</v>
      </c>
    </row>
    <row r="211" spans="1:17" s="16" customFormat="1" ht="56.25">
      <c r="A211" s="164"/>
      <c r="B211" s="167"/>
      <c r="C211" s="13" t="s">
        <v>179</v>
      </c>
      <c r="D211" s="14" t="s">
        <v>189</v>
      </c>
      <c r="E211" s="39"/>
      <c r="F211" s="39"/>
      <c r="G211" s="39">
        <v>333000</v>
      </c>
      <c r="H211" s="39">
        <v>333000</v>
      </c>
      <c r="I211" s="41"/>
      <c r="J211" s="40">
        <v>333000</v>
      </c>
      <c r="K211" s="40">
        <v>333000</v>
      </c>
      <c r="L211" s="34"/>
      <c r="M211" s="102">
        <v>333000</v>
      </c>
      <c r="N211" s="147">
        <f t="shared" si="48"/>
        <v>1.3324852628840547</v>
      </c>
      <c r="O211" s="128"/>
      <c r="P211" s="152">
        <f t="shared" si="49"/>
        <v>0</v>
      </c>
      <c r="Q211" s="150">
        <f t="shared" si="50"/>
        <v>0</v>
      </c>
    </row>
    <row r="212" spans="1:17" s="16" customFormat="1" ht="22.5">
      <c r="A212" s="164"/>
      <c r="B212" s="70"/>
      <c r="C212" s="13"/>
      <c r="D212" s="32" t="s">
        <v>240</v>
      </c>
      <c r="E212" s="42"/>
      <c r="F212" s="42"/>
      <c r="G212" s="42"/>
      <c r="H212" s="42"/>
      <c r="I212" s="44"/>
      <c r="J212" s="43"/>
      <c r="K212" s="43"/>
      <c r="L212" s="57"/>
      <c r="M212" s="103">
        <v>333000</v>
      </c>
      <c r="N212" s="147">
        <f t="shared" si="48"/>
        <v>1.3324852628840547</v>
      </c>
      <c r="O212" s="128"/>
      <c r="P212" s="152">
        <f t="shared" si="49"/>
        <v>0</v>
      </c>
      <c r="Q212" s="150">
        <f t="shared" si="50"/>
        <v>0</v>
      </c>
    </row>
    <row r="213" spans="1:17" ht="13.5" customHeight="1">
      <c r="A213" s="166"/>
      <c r="B213" s="163" t="s">
        <v>147</v>
      </c>
      <c r="C213" s="9"/>
      <c r="D213" s="10" t="s">
        <v>19</v>
      </c>
      <c r="E213" s="38" t="e">
        <f>#REF!+E214+E215+#REF!+#REF!</f>
        <v>#REF!</v>
      </c>
      <c r="F213" s="38" t="e">
        <f>#REF!+F214+F215+#REF!+#REF!</f>
        <v>#REF!</v>
      </c>
      <c r="G213" s="38" t="e">
        <f>#REF!+G214+G215+#REF!+#REF!</f>
        <v>#REF!</v>
      </c>
      <c r="H213" s="38" t="e">
        <f>#REF!+H214+H215+#REF!+#REF!</f>
        <v>#REF!</v>
      </c>
      <c r="I213" s="34" t="e">
        <f aca="true" t="shared" si="51" ref="I213:I246">(H213/G213)*100</f>
        <v>#REF!</v>
      </c>
      <c r="J213" s="33" t="e">
        <f>J214+#REF!+#REF!+J215+#REF!</f>
        <v>#REF!</v>
      </c>
      <c r="K213" s="33" t="e">
        <f>K214+#REF!+#REF!+K215+#REF!</f>
        <v>#REF!</v>
      </c>
      <c r="L213" s="33" t="e">
        <f>L214+#REF!+#REF!+L215+#REF!</f>
        <v>#REF!</v>
      </c>
      <c r="M213" s="100">
        <f>M214+M215</f>
        <v>245212</v>
      </c>
      <c r="N213" s="146">
        <f t="shared" si="48"/>
        <v>0.9812053341811556</v>
      </c>
      <c r="O213" s="121">
        <f>O214+O215</f>
        <v>274196.04</v>
      </c>
      <c r="P213" s="152">
        <f t="shared" si="49"/>
        <v>111.8199924962889</v>
      </c>
      <c r="Q213" s="138">
        <f t="shared" si="50"/>
        <v>1.1805237733281024</v>
      </c>
    </row>
    <row r="214" spans="1:17" ht="13.5" customHeight="1">
      <c r="A214" s="166"/>
      <c r="B214" s="164"/>
      <c r="C214" s="13" t="s">
        <v>52</v>
      </c>
      <c r="D214" s="14" t="s">
        <v>53</v>
      </c>
      <c r="E214" s="39">
        <v>245536.5</v>
      </c>
      <c r="F214" s="39">
        <v>231500</v>
      </c>
      <c r="G214" s="39">
        <v>243500</v>
      </c>
      <c r="H214" s="39">
        <v>183169</v>
      </c>
      <c r="I214" s="41">
        <f t="shared" si="51"/>
        <v>75.22340862422998</v>
      </c>
      <c r="J214" s="40">
        <v>243500</v>
      </c>
      <c r="K214" s="40">
        <v>183169</v>
      </c>
      <c r="L214" s="41">
        <f>K214/J214*100</f>
        <v>75.22340862422998</v>
      </c>
      <c r="M214" s="102">
        <v>245212</v>
      </c>
      <c r="N214" s="146">
        <f t="shared" si="48"/>
        <v>0.9812053341811556</v>
      </c>
      <c r="O214" s="128">
        <v>218000</v>
      </c>
      <c r="P214" s="152">
        <f t="shared" si="49"/>
        <v>88.90266381743145</v>
      </c>
      <c r="Q214" s="150">
        <f t="shared" si="50"/>
        <v>0.9385773134634852</v>
      </c>
    </row>
    <row r="215" spans="1:17" ht="45">
      <c r="A215" s="166"/>
      <c r="B215" s="164"/>
      <c r="C215" s="13" t="s">
        <v>159</v>
      </c>
      <c r="D215" s="14" t="s">
        <v>146</v>
      </c>
      <c r="E215" s="39"/>
      <c r="F215" s="39"/>
      <c r="G215" s="39">
        <v>56196.04</v>
      </c>
      <c r="H215" s="39"/>
      <c r="I215" s="41">
        <f t="shared" si="51"/>
        <v>0</v>
      </c>
      <c r="J215" s="40">
        <v>56196.04</v>
      </c>
      <c r="K215" s="40"/>
      <c r="L215" s="41">
        <f>K215/J215*100</f>
        <v>0</v>
      </c>
      <c r="M215" s="102"/>
      <c r="N215" s="147">
        <f t="shared" si="48"/>
        <v>0</v>
      </c>
      <c r="O215" s="128">
        <v>56196.04</v>
      </c>
      <c r="P215" s="152"/>
      <c r="Q215" s="150">
        <f t="shared" si="50"/>
        <v>0.2419464598646172</v>
      </c>
    </row>
    <row r="216" spans="1:17" ht="12.75">
      <c r="A216" s="90"/>
      <c r="B216" s="91"/>
      <c r="C216" s="92"/>
      <c r="D216" s="93" t="s">
        <v>231</v>
      </c>
      <c r="E216" s="42"/>
      <c r="F216" s="42"/>
      <c r="G216" s="42"/>
      <c r="H216" s="42"/>
      <c r="I216" s="44"/>
      <c r="J216" s="43"/>
      <c r="K216" s="43"/>
      <c r="L216" s="44"/>
      <c r="M216" s="103"/>
      <c r="N216" s="147">
        <f t="shared" si="48"/>
        <v>0</v>
      </c>
      <c r="O216" s="130">
        <v>56196.04</v>
      </c>
      <c r="P216" s="152"/>
      <c r="Q216" s="150">
        <f t="shared" si="50"/>
        <v>0.2419464598646172</v>
      </c>
    </row>
    <row r="217" spans="1:17" s="11" customFormat="1" ht="12.75">
      <c r="A217" s="181" t="s">
        <v>204</v>
      </c>
      <c r="B217" s="182"/>
      <c r="C217" s="182"/>
      <c r="D217" s="183"/>
      <c r="E217" s="51" t="e">
        <f>+E195+E181+E178+E138+E135+E104+E95+E58+E54+E51+E37+E34+E21+E14+E11+E4+E173+E200+#REF!</f>
        <v>#REF!</v>
      </c>
      <c r="F217" s="51" t="e">
        <f>+F195+F181+F178+F138+F135+F104+F95+F58+F54+F51+F37+F34+F21+F14+F11+F4+F173+F200+#REF!</f>
        <v>#REF!</v>
      </c>
      <c r="G217" s="51" t="e">
        <f>+G195+G181+G178+G138+G135+G104+G95+G58+G54+G51+G37+G34+G21+G14+G11+G4+G173+G200+#REF!</f>
        <v>#REF!</v>
      </c>
      <c r="H217" s="51" t="e">
        <f>+H195+H181+H178+H138+H135+H104+H95+H58+H54+H51+H37+H34+H21+H14+H11+H4+H173+H200+#REF!</f>
        <v>#REF!</v>
      </c>
      <c r="I217" s="37" t="e">
        <f t="shared" si="51"/>
        <v>#REF!</v>
      </c>
      <c r="J217" s="35" t="e">
        <f>J4+J11+J14+J21+J34+J37+J51+#REF!+J54+J58+J95+J104+J135+J138+J173+J178+J181+J195+J200</f>
        <v>#REF!</v>
      </c>
      <c r="K217" s="35" t="e">
        <f>K4+K11+K14+K21+K34+K37+K51+#REF!+K54+K58+K95+K104+K135+K138+K173+K178+K181+K195+K200</f>
        <v>#REF!</v>
      </c>
      <c r="L217" s="35" t="e">
        <f>L4+L11+L14+L21+L34+L37+L51+#REF!+L54+L58+L95+L104+L135+L138+L173+L178+L181+L195+L200</f>
        <v>#REF!</v>
      </c>
      <c r="M217" s="104">
        <f>M4+M11+M14+M21+M34+M37+M51+M54+M58+M95+M104+M135+M138+M173+M178+M181+M195+M200</f>
        <v>24990895.53</v>
      </c>
      <c r="N217" s="146">
        <f t="shared" si="48"/>
        <v>100</v>
      </c>
      <c r="O217" s="104">
        <f>O4+O11+O14+O21+O34+O37+O51+O54+O58+O95+O104+O135+O138+O173+O178+O181+O195+O200</f>
        <v>23226642.799999997</v>
      </c>
      <c r="P217" s="46">
        <f>(O217/M217)*100</f>
        <v>92.94041812994604</v>
      </c>
      <c r="Q217" s="138">
        <f t="shared" si="50"/>
        <v>100</v>
      </c>
    </row>
    <row r="218" spans="1:17" ht="8.25" customHeight="1">
      <c r="A218" s="24"/>
      <c r="B218" s="24"/>
      <c r="C218" s="24"/>
      <c r="D218" s="24"/>
      <c r="E218" s="25"/>
      <c r="F218" s="26"/>
      <c r="G218" s="25"/>
      <c r="H218" s="25"/>
      <c r="I218" s="37" t="e">
        <f t="shared" si="51"/>
        <v>#DIV/0!</v>
      </c>
      <c r="J218" s="15"/>
      <c r="K218" s="15"/>
      <c r="L218" s="36" t="e">
        <f>K218/J218*100</f>
        <v>#DIV/0!</v>
      </c>
      <c r="N218" s="147">
        <f t="shared" si="48"/>
        <v>0</v>
      </c>
      <c r="O218" s="131"/>
      <c r="P218" s="46"/>
      <c r="Q218" s="138">
        <f t="shared" si="50"/>
        <v>0</v>
      </c>
    </row>
    <row r="219" spans="4:17" s="24" customFormat="1" ht="12.75">
      <c r="D219" s="24" t="s">
        <v>228</v>
      </c>
      <c r="E219" s="47" t="e">
        <f>E6+#REF!+E29+#REF!+E30</f>
        <v>#REF!</v>
      </c>
      <c r="F219" s="47" t="e">
        <f>F6+#REF!+F29+#REF!+F30</f>
        <v>#REF!</v>
      </c>
      <c r="G219" s="47" t="e">
        <f>G6+#REF!+G29+#REF!+G30</f>
        <v>#REF!</v>
      </c>
      <c r="H219" s="47" t="e">
        <f>H6+#REF!+H29+#REF!+H30</f>
        <v>#REF!</v>
      </c>
      <c r="I219" s="37" t="e">
        <f t="shared" si="51"/>
        <v>#REF!</v>
      </c>
      <c r="J219" s="47" t="e">
        <f>J6+#REF!+J29+#REF!+J30</f>
        <v>#REF!</v>
      </c>
      <c r="K219" s="47" t="e">
        <f>K6+#REF!+K29+#REF!+K30</f>
        <v>#REF!</v>
      </c>
      <c r="L219" s="36" t="e">
        <f>K219/J219*100</f>
        <v>#REF!</v>
      </c>
      <c r="M219" s="47">
        <f>M6+M29+M30+M44</f>
        <v>194391.99</v>
      </c>
      <c r="N219" s="147">
        <f t="shared" si="48"/>
        <v>0.7778512369300437</v>
      </c>
      <c r="O219" s="47">
        <f>O6+O29+O30+O44</f>
        <v>222500</v>
      </c>
      <c r="P219" s="46">
        <f>(O219/M219)*100</f>
        <v>114.45944866349689</v>
      </c>
      <c r="Q219" s="138">
        <f t="shared" si="50"/>
        <v>0.9579516158056214</v>
      </c>
    </row>
    <row r="220" spans="4:17" s="24" customFormat="1" ht="12.75">
      <c r="D220" s="60" t="s">
        <v>222</v>
      </c>
      <c r="E220" s="47" t="e">
        <f>#REF!+#REF!+#REF!+E49+E56+E109+#REF!+E120+E130+#REF!+E176+E177+E185+#REF!+E206+#REF!</f>
        <v>#REF!</v>
      </c>
      <c r="F220" s="47" t="e">
        <f>#REF!+#REF!+#REF!+F49+F56+F109+#REF!+F120+F130+#REF!+F176+F177+F185+#REF!+F206+#REF!</f>
        <v>#REF!</v>
      </c>
      <c r="G220" s="47" t="e">
        <f>#REF!+#REF!+#REF!+G49+G56+G109+#REF!+G120+G130+#REF!+G176+G177+G185+#REF!+G206+#REF!</f>
        <v>#REF!</v>
      </c>
      <c r="H220" s="47" t="e">
        <f>#REF!+#REF!+#REF!+H49+H56+H109+#REF!+H120+H130+#REF!+H176+H177+H185+#REF!+H206+#REF!</f>
        <v>#REF!</v>
      </c>
      <c r="I220" s="37" t="e">
        <f t="shared" si="51"/>
        <v>#REF!</v>
      </c>
      <c r="J220" s="47" t="e">
        <f>#REF!+#REF!+#REF!+J49+J56+J109+J110+#REF!+J120+J121+J128+J129+J130+#REF!+J176+J177+J185+#REF!+J206+J215+#REF!</f>
        <v>#REF!</v>
      </c>
      <c r="K220" s="47" t="e">
        <f>#REF!+#REF!+#REF!+K49+K56+K109+K110+#REF!+K120+K121+K128+K129+K130+#REF!+K176+K177+K185+#REF!+K206+K215+#REF!</f>
        <v>#REF!</v>
      </c>
      <c r="L220" s="47" t="e">
        <f>#REF!+#REF!+#REF!+L49+L56+L109+L110+#REF!+L120+L121+L128+L129+L130+#REF!+L176+L177+L185+#REF!+L206+L215+#REF!</f>
        <v>#REF!</v>
      </c>
      <c r="M220" s="64">
        <f>M18+M49+M56+M109+M110+M120+M121+M128+M129+M130+M176+M177+M185+M206+M215</f>
        <v>2462721.51</v>
      </c>
      <c r="N220" s="147">
        <f t="shared" si="48"/>
        <v>9.854474830818516</v>
      </c>
      <c r="O220" s="64">
        <f>O18+O49+O56+O109+O110+O120+O121+O128+O129+O130+O176+O177+O185+O206+O215</f>
        <v>2387321.8</v>
      </c>
      <c r="P220" s="46">
        <f>(O220/M220)*100</f>
        <v>96.9383582474171</v>
      </c>
      <c r="Q220" s="138">
        <f t="shared" si="50"/>
        <v>10.278376520260604</v>
      </c>
    </row>
    <row r="221" spans="4:17" s="24" customFormat="1" ht="12.75">
      <c r="D221" s="24" t="s">
        <v>155</v>
      </c>
      <c r="E221" s="47" t="e">
        <f>E109+#REF!+E120+E49+#REF!+E176+E177</f>
        <v>#REF!</v>
      </c>
      <c r="F221" s="47" t="e">
        <f>F109+#REF!+F120+F49+#REF!+F176+F177</f>
        <v>#REF!</v>
      </c>
      <c r="G221" s="47" t="e">
        <f>G109+#REF!+G120+G49+#REF!+G176+G177</f>
        <v>#REF!</v>
      </c>
      <c r="H221" s="47" t="e">
        <f>H109+#REF!+H120+H49+#REF!+H176+H177</f>
        <v>#REF!</v>
      </c>
      <c r="I221" s="52" t="e">
        <f t="shared" si="51"/>
        <v>#REF!</v>
      </c>
      <c r="J221" s="15" t="e">
        <f>J49+J109+J110+#REF!+J120+J121+J128+J129+#REF!+J176+J177</f>
        <v>#REF!</v>
      </c>
      <c r="K221" s="15" t="e">
        <f>K49+K109+K110+#REF!+K120+K121+K128+K129+#REF!+K176+K177</f>
        <v>#REF!</v>
      </c>
      <c r="L221" s="15" t="e">
        <f>L49+L109+L110+#REF!+L120+L121+L128+L129+#REF!+L176+L177</f>
        <v>#REF!</v>
      </c>
      <c r="M221" s="109">
        <f>M49+M109+M110+M120+M121+M128+M129+M176+M177</f>
        <v>570159.71</v>
      </c>
      <c r="N221" s="147">
        <f t="shared" si="48"/>
        <v>2.281469702898638</v>
      </c>
      <c r="O221" s="132">
        <f>O49+O109+O110+O120+O121+O128+O129+O176+O177</f>
        <v>630404.77</v>
      </c>
      <c r="P221" s="46">
        <f>(O221/M221)*100</f>
        <v>110.56634815532654</v>
      </c>
      <c r="Q221" s="138">
        <f t="shared" si="50"/>
        <v>2.7141450248677352</v>
      </c>
    </row>
    <row r="222" spans="4:17" s="24" customFormat="1" ht="12.75">
      <c r="D222" s="24" t="s">
        <v>156</v>
      </c>
      <c r="E222" s="47" t="e">
        <f>#REF!+#REF!+E56+E130+E185+#REF!+E206+#REF!</f>
        <v>#REF!</v>
      </c>
      <c r="F222" s="47" t="e">
        <f>#REF!+#REF!+F56+F130+F185+#REF!+F206+#REF!</f>
        <v>#REF!</v>
      </c>
      <c r="G222" s="47" t="e">
        <f>#REF!+#REF!+G56+G130+G185+#REF!+G206+#REF!</f>
        <v>#REF!</v>
      </c>
      <c r="H222" s="47" t="e">
        <f>#REF!+#REF!+H56+H130+H185+#REF!+H206+#REF!</f>
        <v>#REF!</v>
      </c>
      <c r="I222" s="52" t="e">
        <f t="shared" si="51"/>
        <v>#REF!</v>
      </c>
      <c r="J222" s="47" t="e">
        <f>#REF!+#REF!+J56+J130+J185+#REF!+J206+J215+#REF!</f>
        <v>#REF!</v>
      </c>
      <c r="K222" s="47" t="e">
        <f>#REF!+#REF!+K56+K130+K185+#REF!+K206+K215+#REF!</f>
        <v>#REF!</v>
      </c>
      <c r="L222" s="47" t="e">
        <f>#REF!+#REF!+L56+L130+L185+#REF!+L206+L215+#REF!</f>
        <v>#REF!</v>
      </c>
      <c r="M222" s="47">
        <f>M18+M56+M130+M185+M206+M215</f>
        <v>1892561.8</v>
      </c>
      <c r="N222" s="147">
        <f t="shared" si="48"/>
        <v>7.573005127919879</v>
      </c>
      <c r="O222" s="47">
        <f>O18+O56+O130+O185+O206+O215</f>
        <v>1756917.03</v>
      </c>
      <c r="P222" s="46">
        <f>(O222/M222)*100</f>
        <v>92.8327428990694</v>
      </c>
      <c r="Q222" s="138">
        <f t="shared" si="50"/>
        <v>7.564231495392868</v>
      </c>
    </row>
    <row r="223" spans="4:17" s="24" customFormat="1" ht="12.75">
      <c r="D223" s="59" t="s">
        <v>223</v>
      </c>
      <c r="E223" s="27" t="e">
        <f>SUM(E221:E222)</f>
        <v>#REF!</v>
      </c>
      <c r="F223" s="27" t="e">
        <f>SUM(F221:F222)</f>
        <v>#REF!</v>
      </c>
      <c r="G223" s="27" t="e">
        <f>SUM(G221:G222)</f>
        <v>#REF!</v>
      </c>
      <c r="H223" s="27" t="e">
        <f>SUM(H221:H222)</f>
        <v>#REF!</v>
      </c>
      <c r="I223" s="52" t="e">
        <f t="shared" si="51"/>
        <v>#REF!</v>
      </c>
      <c r="J223" s="27" t="e">
        <f>SUM(J221:J222)</f>
        <v>#REF!</v>
      </c>
      <c r="K223" s="27" t="e">
        <f>SUM(K221:K222)</f>
        <v>#REF!</v>
      </c>
      <c r="L223" s="41" t="e">
        <f>K223/J223*100</f>
        <v>#REF!</v>
      </c>
      <c r="M223" s="110">
        <f>SUM(M221:M222)</f>
        <v>2462721.51</v>
      </c>
      <c r="N223" s="147">
        <f t="shared" si="48"/>
        <v>9.854474830818516</v>
      </c>
      <c r="O223" s="133">
        <f>SUM(O221:O222)</f>
        <v>2387321.8</v>
      </c>
      <c r="P223" s="46">
        <f>(O223/M223)*100</f>
        <v>96.9383582474171</v>
      </c>
      <c r="Q223" s="138">
        <f t="shared" si="50"/>
        <v>10.278376520260604</v>
      </c>
    </row>
    <row r="224" spans="4:17" s="24" customFormat="1" ht="12.75">
      <c r="D224" s="59"/>
      <c r="E224" s="27"/>
      <c r="F224" s="27"/>
      <c r="G224" s="27"/>
      <c r="H224" s="27"/>
      <c r="I224" s="52"/>
      <c r="J224" s="27"/>
      <c r="K224" s="27"/>
      <c r="L224" s="41"/>
      <c r="M224" s="97"/>
      <c r="N224" s="147">
        <f t="shared" si="48"/>
        <v>0</v>
      </c>
      <c r="O224" s="133"/>
      <c r="P224" s="46"/>
      <c r="Q224" s="138">
        <f t="shared" si="50"/>
        <v>0</v>
      </c>
    </row>
    <row r="225" spans="4:17" s="24" customFormat="1" ht="12.75">
      <c r="D225" s="63" t="s">
        <v>224</v>
      </c>
      <c r="E225" s="62" t="e">
        <f>#REF!+E20+#REF!+#REF!+#REF!</f>
        <v>#REF!</v>
      </c>
      <c r="F225" s="62" t="e">
        <f>#REF!+F20+#REF!+#REF!+#REF!</f>
        <v>#REF!</v>
      </c>
      <c r="G225" s="62">
        <v>0</v>
      </c>
      <c r="H225" s="62" t="e">
        <f>#REF!+H20+#REF!+#REF!+#REF!</f>
        <v>#REF!</v>
      </c>
      <c r="I225" s="52" t="e">
        <f t="shared" si="51"/>
        <v>#REF!</v>
      </c>
      <c r="J225" s="62">
        <v>0</v>
      </c>
      <c r="K225" s="62" t="e">
        <f>#REF!+K20+#REF!+#REF!+#REF!</f>
        <v>#REF!</v>
      </c>
      <c r="L225" s="41" t="e">
        <f>K225/J225*100</f>
        <v>#REF!</v>
      </c>
      <c r="M225" s="60">
        <v>0</v>
      </c>
      <c r="N225" s="147">
        <f t="shared" si="48"/>
        <v>0</v>
      </c>
      <c r="O225" s="134">
        <f>O20</f>
        <v>0</v>
      </c>
      <c r="P225" s="46"/>
      <c r="Q225" s="138">
        <f t="shared" si="50"/>
        <v>0</v>
      </c>
    </row>
    <row r="226" spans="4:17" s="24" customFormat="1" ht="12.75">
      <c r="D226" s="63" t="s">
        <v>226</v>
      </c>
      <c r="E226" s="64" t="e">
        <f>#REF!</f>
        <v>#REF!</v>
      </c>
      <c r="F226" s="64" t="e">
        <f>#REF!</f>
        <v>#REF!</v>
      </c>
      <c r="G226" s="64" t="e">
        <f>#REF!</f>
        <v>#REF!</v>
      </c>
      <c r="H226" s="64" t="e">
        <f>#REF!</f>
        <v>#REF!</v>
      </c>
      <c r="I226" s="52" t="e">
        <f t="shared" si="51"/>
        <v>#REF!</v>
      </c>
      <c r="J226" s="30" t="e">
        <f>#REF!</f>
        <v>#REF!</v>
      </c>
      <c r="K226" s="30" t="e">
        <f>#REF!</f>
        <v>#REF!</v>
      </c>
      <c r="L226" s="34" t="e">
        <f>K226/J226*100</f>
        <v>#REF!</v>
      </c>
      <c r="M226" s="111">
        <v>0</v>
      </c>
      <c r="N226" s="147">
        <f t="shared" si="48"/>
        <v>0</v>
      </c>
      <c r="O226" s="134">
        <v>0</v>
      </c>
      <c r="P226" s="46"/>
      <c r="Q226" s="138">
        <f t="shared" si="50"/>
        <v>0</v>
      </c>
    </row>
    <row r="227" spans="4:17" s="24" customFormat="1" ht="12.75">
      <c r="D227" s="63" t="s">
        <v>227</v>
      </c>
      <c r="E227" s="64" t="e">
        <f>#REF!</f>
        <v>#REF!</v>
      </c>
      <c r="F227" s="64" t="e">
        <f>#REF!</f>
        <v>#REF!</v>
      </c>
      <c r="G227" s="64" t="e">
        <f>#REF!</f>
        <v>#REF!</v>
      </c>
      <c r="H227" s="64" t="e">
        <f>#REF!</f>
        <v>#REF!</v>
      </c>
      <c r="I227" s="52" t="e">
        <f t="shared" si="51"/>
        <v>#REF!</v>
      </c>
      <c r="J227" s="64" t="e">
        <f>#REF!</f>
        <v>#REF!</v>
      </c>
      <c r="K227" s="64" t="e">
        <f>#REF!</f>
        <v>#REF!</v>
      </c>
      <c r="L227" s="64" t="e">
        <f>#REF!</f>
        <v>#REF!</v>
      </c>
      <c r="M227" s="111">
        <v>0</v>
      </c>
      <c r="N227" s="147">
        <f t="shared" si="48"/>
        <v>0</v>
      </c>
      <c r="O227" s="64">
        <v>0</v>
      </c>
      <c r="P227" s="46"/>
      <c r="Q227" s="138">
        <f t="shared" si="50"/>
        <v>0</v>
      </c>
    </row>
    <row r="228" spans="4:17" s="24" customFormat="1" ht="12.75" customHeight="1">
      <c r="D228" s="63" t="s">
        <v>225</v>
      </c>
      <c r="E228" s="64"/>
      <c r="F228" s="64"/>
      <c r="G228" s="64"/>
      <c r="H228" s="64"/>
      <c r="I228" s="52" t="e">
        <f t="shared" si="51"/>
        <v>#DIV/0!</v>
      </c>
      <c r="J228" s="30"/>
      <c r="K228" s="30"/>
      <c r="L228" s="34" t="e">
        <f>K228/J228*100</f>
        <v>#DIV/0!</v>
      </c>
      <c r="M228" s="64"/>
      <c r="N228" s="147">
        <f t="shared" si="48"/>
        <v>0</v>
      </c>
      <c r="O228" s="134"/>
      <c r="P228" s="46"/>
      <c r="Q228" s="138">
        <f t="shared" si="50"/>
        <v>0</v>
      </c>
    </row>
    <row r="229" spans="4:17" s="24" customFormat="1" ht="12.75">
      <c r="D229" s="24" t="s">
        <v>187</v>
      </c>
      <c r="E229" s="47" t="e">
        <f>#REF!</f>
        <v>#REF!</v>
      </c>
      <c r="F229" s="47" t="e">
        <f>#REF!</f>
        <v>#REF!</v>
      </c>
      <c r="G229" s="47" t="e">
        <f>#REF!</f>
        <v>#REF!</v>
      </c>
      <c r="H229" s="47" t="e">
        <f>#REF!</f>
        <v>#REF!</v>
      </c>
      <c r="I229" s="52" t="e">
        <f t="shared" si="51"/>
        <v>#REF!</v>
      </c>
      <c r="J229" s="15">
        <v>500000</v>
      </c>
      <c r="K229" s="15">
        <v>500000</v>
      </c>
      <c r="L229" s="15">
        <v>500000</v>
      </c>
      <c r="M229" s="109">
        <v>500000</v>
      </c>
      <c r="N229" s="147">
        <f t="shared" si="48"/>
        <v>2.000728622949031</v>
      </c>
      <c r="O229" s="131"/>
      <c r="P229" s="46">
        <f>(O229/M229)*100</f>
        <v>0</v>
      </c>
      <c r="Q229" s="138">
        <f t="shared" si="50"/>
        <v>0</v>
      </c>
    </row>
    <row r="230" spans="4:17" s="24" customFormat="1" ht="12.75">
      <c r="D230" s="24" t="s">
        <v>166</v>
      </c>
      <c r="E230" s="47" t="e">
        <f>#REF!+#REF!</f>
        <v>#REF!</v>
      </c>
      <c r="F230" s="47" t="e">
        <f>#REF!+#REF!</f>
        <v>#REF!</v>
      </c>
      <c r="G230" s="47">
        <v>47500</v>
      </c>
      <c r="H230" s="47" t="e">
        <f>#REF!+#REF!</f>
        <v>#REF!</v>
      </c>
      <c r="I230" s="52" t="e">
        <f t="shared" si="51"/>
        <v>#REF!</v>
      </c>
      <c r="J230" s="47">
        <v>47500</v>
      </c>
      <c r="K230" s="47" t="e">
        <f>#REF!+#REF!</f>
        <v>#REF!</v>
      </c>
      <c r="L230" s="47" t="e">
        <f>#REF!+#REF!</f>
        <v>#REF!</v>
      </c>
      <c r="M230" s="47">
        <v>47500</v>
      </c>
      <c r="N230" s="147">
        <f t="shared" si="48"/>
        <v>0.19006921918015796</v>
      </c>
      <c r="O230" s="47"/>
      <c r="P230" s="46">
        <f>(O230/M230)*100</f>
        <v>0</v>
      </c>
      <c r="Q230" s="138">
        <f t="shared" si="50"/>
        <v>0</v>
      </c>
    </row>
    <row r="231" spans="4:17" s="24" customFormat="1" ht="12.75">
      <c r="D231" s="24" t="s">
        <v>186</v>
      </c>
      <c r="E231" s="58" t="e">
        <f>#REF!</f>
        <v>#REF!</v>
      </c>
      <c r="F231" s="58" t="e">
        <f>#REF!</f>
        <v>#REF!</v>
      </c>
      <c r="G231" s="58" t="e">
        <f>#REF!</f>
        <v>#REF!</v>
      </c>
      <c r="H231" s="58" t="e">
        <f>#REF!</f>
        <v>#REF!</v>
      </c>
      <c r="I231" s="52" t="e">
        <f t="shared" si="51"/>
        <v>#REF!</v>
      </c>
      <c r="J231" s="15">
        <v>333000</v>
      </c>
      <c r="K231" s="15">
        <v>333000</v>
      </c>
      <c r="L231" s="15">
        <v>333000</v>
      </c>
      <c r="M231" s="109">
        <v>333000</v>
      </c>
      <c r="N231" s="147">
        <f t="shared" si="48"/>
        <v>1.3324852628840547</v>
      </c>
      <c r="O231" s="131"/>
      <c r="P231" s="46">
        <f>(O231/M231)*100</f>
        <v>0</v>
      </c>
      <c r="Q231" s="138">
        <f t="shared" si="50"/>
        <v>0</v>
      </c>
    </row>
    <row r="232" spans="4:17" s="24" customFormat="1" ht="12.75">
      <c r="D232" s="66" t="s">
        <v>167</v>
      </c>
      <c r="E232" s="64" t="e">
        <f>#REF!+#REF!+#REF!</f>
        <v>#REF!</v>
      </c>
      <c r="F232" s="64" t="e">
        <f>#REF!+#REF!+#REF!</f>
        <v>#REF!</v>
      </c>
      <c r="G232" s="64" t="e">
        <f>#REF!+#REF!+#REF!</f>
        <v>#REF!</v>
      </c>
      <c r="H232" s="64" t="e">
        <f>#REF!+#REF!+#REF!</f>
        <v>#REF!</v>
      </c>
      <c r="I232" s="61" t="e">
        <f t="shared" si="51"/>
        <v>#REF!</v>
      </c>
      <c r="J232" s="30" t="e">
        <f>#REF!+#REF!+#REF!</f>
        <v>#REF!</v>
      </c>
      <c r="K232" s="30" t="e">
        <f>#REF!+#REF!+#REF!</f>
        <v>#REF!</v>
      </c>
      <c r="L232" s="30" t="e">
        <f>#REF!+#REF!+#REF!</f>
        <v>#REF!</v>
      </c>
      <c r="M232" s="112">
        <v>0</v>
      </c>
      <c r="N232" s="147">
        <f t="shared" si="48"/>
        <v>0</v>
      </c>
      <c r="O232" s="134">
        <v>0</v>
      </c>
      <c r="P232" s="46"/>
      <c r="Q232" s="138">
        <f t="shared" si="50"/>
        <v>0</v>
      </c>
    </row>
    <row r="233" spans="4:17" s="24" customFormat="1" ht="21.75" customHeight="1">
      <c r="D233" s="81" t="s">
        <v>216</v>
      </c>
      <c r="E233" s="64" t="e">
        <f>SUM(E229:E232)</f>
        <v>#REF!</v>
      </c>
      <c r="F233" s="64" t="e">
        <f>SUM(F229:F232)</f>
        <v>#REF!</v>
      </c>
      <c r="G233" s="64" t="e">
        <f>SUM(G229:G232)</f>
        <v>#REF!</v>
      </c>
      <c r="H233" s="64" t="e">
        <f>SUM(H229:H232)</f>
        <v>#REF!</v>
      </c>
      <c r="I233" s="61" t="e">
        <f t="shared" si="51"/>
        <v>#REF!</v>
      </c>
      <c r="J233" s="64" t="e">
        <f>SUM(J229:J232)</f>
        <v>#REF!</v>
      </c>
      <c r="K233" s="64" t="e">
        <f>SUM(K229:K232)</f>
        <v>#REF!</v>
      </c>
      <c r="L233" s="64" t="e">
        <f>SUM(L229:L232)</f>
        <v>#REF!</v>
      </c>
      <c r="M233" s="64">
        <f>SUM(M229:M232)</f>
        <v>880500</v>
      </c>
      <c r="N233" s="147">
        <f t="shared" si="48"/>
        <v>3.523283105013244</v>
      </c>
      <c r="O233" s="64">
        <f>SUM(O229:O232)</f>
        <v>0</v>
      </c>
      <c r="P233" s="46">
        <f>(O233/M233)*100</f>
        <v>0</v>
      </c>
      <c r="Q233" s="138">
        <f t="shared" si="50"/>
        <v>0</v>
      </c>
    </row>
    <row r="234" spans="4:17" s="24" customFormat="1" ht="21.75" customHeight="1">
      <c r="D234" s="81"/>
      <c r="E234" s="64"/>
      <c r="F234" s="64"/>
      <c r="G234" s="64"/>
      <c r="H234" s="64"/>
      <c r="I234" s="61"/>
      <c r="J234" s="64"/>
      <c r="K234" s="64"/>
      <c r="L234" s="64"/>
      <c r="M234" s="64"/>
      <c r="N234" s="147">
        <f t="shared" si="48"/>
        <v>0</v>
      </c>
      <c r="O234" s="64"/>
      <c r="P234" s="46"/>
      <c r="Q234" s="138">
        <f t="shared" si="50"/>
        <v>0</v>
      </c>
    </row>
    <row r="235" spans="4:17" s="24" customFormat="1" ht="12.75">
      <c r="D235" s="66" t="s">
        <v>219</v>
      </c>
      <c r="E235" s="47" t="e">
        <f>E10+E39+#REF!+E53+#REF!+E137+E152+E155+#REF!+#REF!+#REF!</f>
        <v>#REF!</v>
      </c>
      <c r="F235" s="47" t="e">
        <f>F10+F39+#REF!+F53+#REF!+F137+F152+F155+#REF!+#REF!+#REF!</f>
        <v>#REF!</v>
      </c>
      <c r="G235" s="47" t="e">
        <f>G10+G39+#REF!+G53+#REF!+G137+G152+G155+#REF!+#REF!+#REF!</f>
        <v>#REF!</v>
      </c>
      <c r="H235" s="47" t="e">
        <f>H10+H39+#REF!+H53+#REF!+H137+H152+H155+#REF!+#REF!+#REF!</f>
        <v>#REF!</v>
      </c>
      <c r="I235" s="61" t="e">
        <f t="shared" si="51"/>
        <v>#REF!</v>
      </c>
      <c r="J235" s="15" t="e">
        <f>+J10+J39+#REF!+J53+#REF!+#REF!+#REF!+J137+J152+J155+#REF!</f>
        <v>#REF!</v>
      </c>
      <c r="K235" s="15" t="e">
        <f>+K10+K39+#REF!+K53+#REF!+#REF!+#REF!+K137+K152+K155+#REF!</f>
        <v>#REF!</v>
      </c>
      <c r="L235" s="15" t="e">
        <f>+L10+L39+#REF!+L53+#REF!+#REF!+#REF!+L137+L152+L155+#REF!</f>
        <v>#REF!</v>
      </c>
      <c r="M235" s="109">
        <f>+M10+M39+M53+M137+M152+M155</f>
        <v>3367013.98</v>
      </c>
      <c r="N235" s="147">
        <f t="shared" si="48"/>
        <v>13.472962487311074</v>
      </c>
      <c r="O235" s="132">
        <f>+O10+O39+O53+O137+O152+O155</f>
        <v>2951599</v>
      </c>
      <c r="P235" s="46">
        <f>(O235/M235)*100</f>
        <v>87.66221398344179</v>
      </c>
      <c r="Q235" s="138">
        <f t="shared" si="50"/>
        <v>12.707815870832611</v>
      </c>
    </row>
    <row r="236" spans="4:17" ht="12.75">
      <c r="D236" s="67" t="s">
        <v>217</v>
      </c>
      <c r="E236" s="48">
        <f>E16+E50+E197+E199</f>
        <v>112116</v>
      </c>
      <c r="F236" s="48">
        <f>F16+F50+F197+F199</f>
        <v>115250</v>
      </c>
      <c r="G236" s="48">
        <f>G16+G50+G197+G199</f>
        <v>66113</v>
      </c>
      <c r="H236" s="48">
        <f>H16+H50+H197+H199</f>
        <v>49505.25</v>
      </c>
      <c r="I236" s="61">
        <f t="shared" si="51"/>
        <v>74.8797513348358</v>
      </c>
      <c r="J236" s="15">
        <f>J16+J50+J197+J199</f>
        <v>66113</v>
      </c>
      <c r="K236" s="15">
        <f>K16+K50+K197+K199</f>
        <v>65579</v>
      </c>
      <c r="L236" s="15">
        <f>L16+L50+L197+L199</f>
        <v>349.2</v>
      </c>
      <c r="M236" s="109">
        <f>M16+M50+M197+M199</f>
        <v>65579</v>
      </c>
      <c r="N236" s="147">
        <f t="shared" si="48"/>
        <v>0.26241156472874905</v>
      </c>
      <c r="O236" s="132">
        <f>O16+O50+O197+O199</f>
        <v>66250</v>
      </c>
      <c r="P236" s="46">
        <f>(O236/M236)*100</f>
        <v>101.02319340032633</v>
      </c>
      <c r="Q236" s="138">
        <f t="shared" si="50"/>
        <v>0.28523278448144906</v>
      </c>
    </row>
    <row r="237" spans="4:17" ht="24.75" customHeight="1">
      <c r="D237" s="69" t="s">
        <v>220</v>
      </c>
      <c r="E237" s="48" t="e">
        <f>E36+#REF!+E171</f>
        <v>#REF!</v>
      </c>
      <c r="F237" s="48" t="e">
        <f>F36+#REF!+F171</f>
        <v>#REF!</v>
      </c>
      <c r="G237" s="48" t="e">
        <f>G36+#REF!+G171</f>
        <v>#REF!</v>
      </c>
      <c r="H237" s="48" t="e">
        <f>H36+#REF!+H171</f>
        <v>#REF!</v>
      </c>
      <c r="I237" s="61" t="e">
        <f t="shared" si="51"/>
        <v>#REF!</v>
      </c>
      <c r="J237" s="15" t="e">
        <f>J36+#REF!+J171</f>
        <v>#REF!</v>
      </c>
      <c r="K237" s="15" t="e">
        <f>K36+#REF!+K171</f>
        <v>#REF!</v>
      </c>
      <c r="L237" s="15" t="e">
        <f>L36+#REF!+L171</f>
        <v>#REF!</v>
      </c>
      <c r="M237" s="109">
        <f>M36+M171</f>
        <v>39681</v>
      </c>
      <c r="N237" s="147">
        <f t="shared" si="48"/>
        <v>0.158781824974481</v>
      </c>
      <c r="O237" s="132">
        <f>O36+O171</f>
        <v>3000</v>
      </c>
      <c r="P237" s="46">
        <f>(O237/M237)*100</f>
        <v>7.560293339381569</v>
      </c>
      <c r="Q237" s="138">
        <f t="shared" si="50"/>
        <v>0.012916201561424109</v>
      </c>
    </row>
    <row r="238" spans="4:17" ht="12.75">
      <c r="D238" s="67" t="s">
        <v>218</v>
      </c>
      <c r="E238" s="48" t="e">
        <f>#REF!+E134+E156+E159+E161+E166+E172+E180</f>
        <v>#REF!</v>
      </c>
      <c r="F238" s="48" t="e">
        <f>#REF!+F134+F156+F159+F161+F166+F172+F180</f>
        <v>#REF!</v>
      </c>
      <c r="G238" s="48" t="e">
        <f>#REF!+G134+G156+G159+G161+G166+G172+G180</f>
        <v>#REF!</v>
      </c>
      <c r="H238" s="48" t="e">
        <f>#REF!+H134+H156+H159+H161+H166+H172+H180</f>
        <v>#REF!</v>
      </c>
      <c r="I238" s="61" t="e">
        <f t="shared" si="51"/>
        <v>#REF!</v>
      </c>
      <c r="J238" s="15" t="e">
        <f>#REF!+J134+J146+J156+J159+J161+J166+J172+J180</f>
        <v>#REF!</v>
      </c>
      <c r="K238" s="15" t="e">
        <f>#REF!+K134+K146+K156+K159+K161+K166+K172+K180</f>
        <v>#REF!</v>
      </c>
      <c r="L238" s="15" t="e">
        <f>#REF!+L134+L146+L156+L159+L161+L166+L172+L180</f>
        <v>#REF!</v>
      </c>
      <c r="M238" s="109">
        <f>M134+M146+M156+M159+M161+M166+M172+M180</f>
        <v>677480</v>
      </c>
      <c r="N238" s="147">
        <f t="shared" si="48"/>
        <v>2.710907254951019</v>
      </c>
      <c r="O238" s="132">
        <f>O134+O146+O156+O159+O161+O166+O172+O180</f>
        <v>337738</v>
      </c>
      <c r="P238" s="46">
        <f>(O238/M238)*100</f>
        <v>49.852098954950705</v>
      </c>
      <c r="Q238" s="138">
        <f t="shared" si="50"/>
        <v>1.4540973609840853</v>
      </c>
    </row>
    <row r="239" spans="4:17" ht="12.75">
      <c r="D239" s="80" t="s">
        <v>221</v>
      </c>
      <c r="E239" s="48" t="e">
        <f>SUM(E235:E238)</f>
        <v>#REF!</v>
      </c>
      <c r="F239" s="48" t="e">
        <f>SUM(F235:F238)</f>
        <v>#REF!</v>
      </c>
      <c r="G239" s="48" t="e">
        <f>SUM(G235:G238)</f>
        <v>#REF!</v>
      </c>
      <c r="H239" s="48" t="e">
        <f>SUM(H235:H238)</f>
        <v>#REF!</v>
      </c>
      <c r="I239" s="61" t="e">
        <f t="shared" si="51"/>
        <v>#REF!</v>
      </c>
      <c r="J239" s="15" t="e">
        <f>SUM(J235:J238)</f>
        <v>#REF!</v>
      </c>
      <c r="K239" s="15" t="e">
        <f>SUM(K235:K238)</f>
        <v>#REF!</v>
      </c>
      <c r="L239" s="15" t="e">
        <f>SUM(L235:L238)</f>
        <v>#REF!</v>
      </c>
      <c r="M239" s="112">
        <f>SUM(M235:M238)</f>
        <v>4149753.98</v>
      </c>
      <c r="N239" s="147">
        <f t="shared" si="48"/>
        <v>16.605063131965323</v>
      </c>
      <c r="O239" s="135">
        <f>SUM(O235:O238)</f>
        <v>3358587</v>
      </c>
      <c r="P239" s="46">
        <f>(O239/M239)*100</f>
        <v>80.93460518832974</v>
      </c>
      <c r="Q239" s="138">
        <f t="shared" si="50"/>
        <v>14.460062217859571</v>
      </c>
    </row>
    <row r="240" spans="4:17" ht="12.75">
      <c r="D240" s="80"/>
      <c r="E240" s="48"/>
      <c r="F240" s="48"/>
      <c r="G240" s="48"/>
      <c r="H240" s="48"/>
      <c r="I240" s="61"/>
      <c r="J240" s="15"/>
      <c r="K240" s="15"/>
      <c r="L240" s="15"/>
      <c r="M240" s="112"/>
      <c r="N240" s="147">
        <f t="shared" si="48"/>
        <v>0</v>
      </c>
      <c r="O240" s="135"/>
      <c r="P240" s="46"/>
      <c r="Q240" s="138">
        <f t="shared" si="50"/>
        <v>0</v>
      </c>
    </row>
    <row r="241" spans="4:17" ht="12.75">
      <c r="D241" s="80" t="s">
        <v>241</v>
      </c>
      <c r="E241" s="48"/>
      <c r="F241" s="48"/>
      <c r="G241" s="48"/>
      <c r="H241" s="48"/>
      <c r="I241" s="61"/>
      <c r="J241" s="15"/>
      <c r="K241" s="15"/>
      <c r="L241" s="15"/>
      <c r="M241" s="112">
        <f>M239+M233</f>
        <v>5030253.98</v>
      </c>
      <c r="N241" s="147">
        <f t="shared" si="48"/>
        <v>20.128346236978565</v>
      </c>
      <c r="O241" s="112">
        <f>O239+O233</f>
        <v>3358587</v>
      </c>
      <c r="P241" s="46">
        <f>(O241/M241)*100</f>
        <v>66.7677420136945</v>
      </c>
      <c r="Q241" s="138">
        <f t="shared" si="50"/>
        <v>14.460062217859571</v>
      </c>
    </row>
    <row r="242" spans="4:17" ht="12.75">
      <c r="D242" s="80" t="s">
        <v>242</v>
      </c>
      <c r="E242" s="48"/>
      <c r="F242" s="48"/>
      <c r="G242" s="48"/>
      <c r="H242" s="48"/>
      <c r="I242" s="61"/>
      <c r="J242" s="15"/>
      <c r="K242" s="15"/>
      <c r="L242" s="15"/>
      <c r="M242" s="112">
        <f>M220</f>
        <v>2462721.51</v>
      </c>
      <c r="N242" s="147">
        <f t="shared" si="48"/>
        <v>9.854474830818516</v>
      </c>
      <c r="O242" s="112">
        <f>O220</f>
        <v>2387321.8</v>
      </c>
      <c r="P242" s="46">
        <f>(O242/M242)*100</f>
        <v>96.9383582474171</v>
      </c>
      <c r="Q242" s="138">
        <f t="shared" si="50"/>
        <v>10.278376520260604</v>
      </c>
    </row>
    <row r="243" spans="4:17" ht="12.75">
      <c r="D243" s="80" t="s">
        <v>243</v>
      </c>
      <c r="E243" s="48"/>
      <c r="F243" s="48"/>
      <c r="G243" s="48"/>
      <c r="H243" s="48"/>
      <c r="I243" s="61"/>
      <c r="J243" s="15"/>
      <c r="K243" s="15"/>
      <c r="L243" s="15"/>
      <c r="M243" s="112">
        <f>M97+M99+M103</f>
        <v>10464454</v>
      </c>
      <c r="N243" s="147">
        <f t="shared" si="48"/>
        <v>41.87306528266696</v>
      </c>
      <c r="O243" s="112">
        <f>O97+O99+O103</f>
        <v>10059433</v>
      </c>
      <c r="P243" s="46">
        <f>(O243/M243)*100</f>
        <v>96.12955439433343</v>
      </c>
      <c r="Q243" s="138">
        <f t="shared" si="50"/>
        <v>43.3098880738804</v>
      </c>
    </row>
    <row r="244" spans="4:17" ht="12.75">
      <c r="D244" s="80" t="s">
        <v>244</v>
      </c>
      <c r="E244" s="48"/>
      <c r="F244" s="48"/>
      <c r="G244" s="48"/>
      <c r="H244" s="48"/>
      <c r="I244" s="61"/>
      <c r="J244" s="15"/>
      <c r="K244" s="15"/>
      <c r="L244" s="15"/>
      <c r="M244" s="112">
        <f>SUM(M241:M243)</f>
        <v>17957429.490000002</v>
      </c>
      <c r="N244" s="147">
        <f t="shared" si="48"/>
        <v>71.85588635046405</v>
      </c>
      <c r="O244" s="112">
        <f>SUM(O241:O243)</f>
        <v>15805341.8</v>
      </c>
      <c r="P244" s="46">
        <f>(O244/M244)*100</f>
        <v>88.0156138650109</v>
      </c>
      <c r="Q244" s="138">
        <f t="shared" si="50"/>
        <v>68.04832681200058</v>
      </c>
    </row>
    <row r="245" spans="4:17" ht="12.75">
      <c r="D245" s="80" t="s">
        <v>245</v>
      </c>
      <c r="E245" s="48"/>
      <c r="F245" s="48"/>
      <c r="G245" s="48"/>
      <c r="H245" s="48"/>
      <c r="I245" s="61"/>
      <c r="J245" s="15"/>
      <c r="K245" s="15"/>
      <c r="L245" s="15"/>
      <c r="M245" s="112">
        <f>M6+M7+M8+M13+M23+M24+M26+M27+M28+M29+M30+M31+M32+M33+M41+M42+M43+M44+M45+M46+M47+M58+M101+M106+M107+M108+M112+M113+M115+M117+M118+M119+M123+M124+M126+M127+M133+M140+M141+M142+M143+M145+M148+M149+M150+M151++M154+M158+M163+M164+M165+M168+M169+M175++M183+M184+M188+M190+M192+M194+M202+M203+M204+M205+M214</f>
        <v>7033466.040000001</v>
      </c>
      <c r="N245" s="147">
        <f t="shared" si="48"/>
        <v>28.144113649535957</v>
      </c>
      <c r="O245" s="112">
        <f>O6+O7+O8+O13+O23+O24+O26+O27+O28+O29+O30+O31+O32+O33+O41+O42+O43+O44+O45+O46+O47+O58+O101+O106+O107+O108+O112+O113+O115+O117+O118+O119+O123+O124+O126+O127+O133+O140+O141+O142+O143+O145+O148+O149+O150+O151++O154+O158+O163+O164+O165+O168+O169+O175++O183+O184+O188+O190+O192+O194+O202+O203+O204+O205+O214</f>
        <v>7421301</v>
      </c>
      <c r="P245" s="46">
        <f>(O245/M245)*100</f>
        <v>105.5141370953431</v>
      </c>
      <c r="Q245" s="138">
        <f t="shared" si="50"/>
        <v>31.951673187999436</v>
      </c>
    </row>
    <row r="246" spans="4:17" ht="18" customHeight="1">
      <c r="D246" s="89" t="s">
        <v>207</v>
      </c>
      <c r="E246" s="48"/>
      <c r="F246" s="48"/>
      <c r="G246" s="48"/>
      <c r="H246" s="48"/>
      <c r="I246" s="61" t="e">
        <f t="shared" si="51"/>
        <v>#DIV/0!</v>
      </c>
      <c r="J246" s="15"/>
      <c r="K246" s="15"/>
      <c r="L246" s="15"/>
      <c r="M246" s="112">
        <f>M245+M244</f>
        <v>24990895.53</v>
      </c>
      <c r="N246" s="153">
        <f t="shared" si="48"/>
        <v>100</v>
      </c>
      <c r="O246" s="112">
        <f>O245+O244</f>
        <v>23226642.8</v>
      </c>
      <c r="P246" s="49"/>
      <c r="Q246" s="138">
        <f t="shared" si="50"/>
        <v>100.00000000000003</v>
      </c>
    </row>
    <row r="247" spans="4:17" s="24" customFormat="1" ht="12.75">
      <c r="D247" s="60" t="s">
        <v>157</v>
      </c>
      <c r="E247" s="71" t="e">
        <f aca="true" t="shared" si="52" ref="E247:O247">E219+E222+E225+E233</f>
        <v>#REF!</v>
      </c>
      <c r="F247" s="71" t="e">
        <f t="shared" si="52"/>
        <v>#REF!</v>
      </c>
      <c r="G247" s="71" t="e">
        <f t="shared" si="52"/>
        <v>#REF!</v>
      </c>
      <c r="H247" s="71" t="e">
        <f t="shared" si="52"/>
        <v>#REF!</v>
      </c>
      <c r="I247" s="71" t="e">
        <f t="shared" si="52"/>
        <v>#REF!</v>
      </c>
      <c r="J247" s="71" t="e">
        <f t="shared" si="52"/>
        <v>#REF!</v>
      </c>
      <c r="K247" s="71" t="e">
        <f t="shared" si="52"/>
        <v>#REF!</v>
      </c>
      <c r="L247" s="71" t="e">
        <f t="shared" si="52"/>
        <v>#REF!</v>
      </c>
      <c r="M247" s="71">
        <f>M219+M222+M225+M233</f>
        <v>2967453.79</v>
      </c>
      <c r="N247" s="147">
        <f t="shared" si="48"/>
        <v>11.874139469863167</v>
      </c>
      <c r="O247" s="71">
        <f t="shared" si="52"/>
        <v>1979417.03</v>
      </c>
      <c r="P247" s="46">
        <f aca="true" t="shared" si="53" ref="P247:P255">(O247/M247)*100</f>
        <v>66.70422422989104</v>
      </c>
      <c r="Q247" s="138">
        <f t="shared" si="50"/>
        <v>8.52218311119849</v>
      </c>
    </row>
    <row r="248" spans="4:17" s="24" customFormat="1" ht="12.75">
      <c r="D248" s="60" t="s">
        <v>152</v>
      </c>
      <c r="E248" s="47" t="e">
        <f>E217-E247</f>
        <v>#REF!</v>
      </c>
      <c r="F248" s="47" t="e">
        <f>F217-F247</f>
        <v>#REF!</v>
      </c>
      <c r="G248" s="47" t="e">
        <f>G217-G247</f>
        <v>#REF!</v>
      </c>
      <c r="H248" s="47" t="e">
        <f>H217-H247</f>
        <v>#REF!</v>
      </c>
      <c r="I248" s="61" t="e">
        <f aca="true" t="shared" si="54" ref="I248:I258">(H248/G248)*100</f>
        <v>#REF!</v>
      </c>
      <c r="J248" s="15" t="e">
        <f>J217-J247</f>
        <v>#REF!</v>
      </c>
      <c r="K248" s="15" t="e">
        <f>K217-K247</f>
        <v>#REF!</v>
      </c>
      <c r="L248" s="15" t="e">
        <f>L217-L247</f>
        <v>#REF!</v>
      </c>
      <c r="M248" s="109">
        <f>M217-M247</f>
        <v>22023441.740000002</v>
      </c>
      <c r="N248" s="147">
        <f t="shared" si="48"/>
        <v>88.12586053013683</v>
      </c>
      <c r="O248" s="131">
        <f>O217-O247</f>
        <v>21247225.769999996</v>
      </c>
      <c r="P248" s="46">
        <f t="shared" si="53"/>
        <v>96.47550106307769</v>
      </c>
      <c r="Q248" s="138">
        <f t="shared" si="50"/>
        <v>91.4778168888015</v>
      </c>
    </row>
    <row r="249" spans="4:17" ht="21" customHeight="1">
      <c r="D249" s="86" t="s">
        <v>205</v>
      </c>
      <c r="E249" s="48" t="e">
        <f>SUM(E247:E248)</f>
        <v>#REF!</v>
      </c>
      <c r="F249" s="48" t="e">
        <f>SUM(F247:F248)</f>
        <v>#REF!</v>
      </c>
      <c r="G249" s="48" t="e">
        <f>SUM(G247:G248)</f>
        <v>#REF!</v>
      </c>
      <c r="H249" s="48" t="e">
        <f>SUM(H247:H248)</f>
        <v>#REF!</v>
      </c>
      <c r="I249" s="61" t="e">
        <f t="shared" si="54"/>
        <v>#REF!</v>
      </c>
      <c r="J249" s="54" t="e">
        <f>SUM(J247:J248)</f>
        <v>#REF!</v>
      </c>
      <c r="K249" s="54" t="e">
        <f>SUM(K247:K248)</f>
        <v>#REF!</v>
      </c>
      <c r="L249" s="54" t="e">
        <f>SUM(L247:L248)</f>
        <v>#REF!</v>
      </c>
      <c r="M249" s="154">
        <f>SUM(M247:M248)</f>
        <v>24990895.53</v>
      </c>
      <c r="N249" s="146">
        <f t="shared" si="48"/>
        <v>100</v>
      </c>
      <c r="O249" s="137">
        <f>SUM(O247:O248)</f>
        <v>23226642.799999997</v>
      </c>
      <c r="P249" s="46">
        <f t="shared" si="53"/>
        <v>92.94041812994604</v>
      </c>
      <c r="Q249" s="138">
        <f t="shared" si="50"/>
        <v>100</v>
      </c>
    </row>
    <row r="250" spans="4:17" ht="12.75">
      <c r="D250" s="4" t="s">
        <v>206</v>
      </c>
      <c r="E250" s="55"/>
      <c r="F250" s="55"/>
      <c r="G250" s="55"/>
      <c r="H250" s="55"/>
      <c r="I250" s="61" t="e">
        <f t="shared" si="54"/>
        <v>#DIV/0!</v>
      </c>
      <c r="J250" s="53"/>
      <c r="K250" s="53"/>
      <c r="L250" s="34" t="e">
        <f>K250/J250*100</f>
        <v>#DIV/0!</v>
      </c>
      <c r="M250" s="113"/>
      <c r="N250" s="147">
        <f t="shared" si="48"/>
        <v>0</v>
      </c>
      <c r="O250" s="136"/>
      <c r="P250" s="46"/>
      <c r="Q250" s="138">
        <f t="shared" si="50"/>
        <v>0</v>
      </c>
    </row>
    <row r="251" spans="4:17" ht="12.75">
      <c r="D251" s="65" t="s">
        <v>168</v>
      </c>
      <c r="E251" s="68">
        <f>E97+E99+E103</f>
        <v>10025661</v>
      </c>
      <c r="F251" s="68">
        <f>F97+F99+F103</f>
        <v>10397400</v>
      </c>
      <c r="G251" s="68">
        <f>G97+G99+G103</f>
        <v>10464454</v>
      </c>
      <c r="H251" s="68">
        <f>H97+H99+H103</f>
        <v>8467366</v>
      </c>
      <c r="I251" s="61">
        <f t="shared" si="54"/>
        <v>80.9155069151243</v>
      </c>
      <c r="J251" s="68">
        <f>J97+J99+J103</f>
        <v>10464454</v>
      </c>
      <c r="K251" s="68">
        <f>K97+K99+K103</f>
        <v>9298136</v>
      </c>
      <c r="L251" s="68">
        <f>L97+L99+L103</f>
        <v>258.983112599122</v>
      </c>
      <c r="M251" s="114">
        <f>M97+M99+M103</f>
        <v>10464454</v>
      </c>
      <c r="N251" s="147">
        <f t="shared" si="48"/>
        <v>41.87306528266696</v>
      </c>
      <c r="O251" s="68">
        <f>O97+O99+O103</f>
        <v>10059433</v>
      </c>
      <c r="P251" s="46">
        <f t="shared" si="53"/>
        <v>96.12955439433343</v>
      </c>
      <c r="Q251" s="138">
        <f t="shared" si="50"/>
        <v>43.3098880738804</v>
      </c>
    </row>
    <row r="252" spans="4:17" ht="12.75">
      <c r="D252" s="139" t="s">
        <v>249</v>
      </c>
      <c r="E252" s="140"/>
      <c r="F252" s="141"/>
      <c r="G252" s="140"/>
      <c r="H252" s="140"/>
      <c r="I252" s="142" t="e">
        <f t="shared" si="54"/>
        <v>#DIV/0!</v>
      </c>
      <c r="J252" s="141"/>
      <c r="K252" s="141"/>
      <c r="L252" s="143" t="e">
        <f>K252/J252*100</f>
        <v>#DIV/0!</v>
      </c>
      <c r="M252" s="116">
        <f>M99+M103</f>
        <v>4026619</v>
      </c>
      <c r="N252" s="147">
        <f t="shared" si="48"/>
        <v>16.11234377402081</v>
      </c>
      <c r="O252" s="116">
        <f>O99+O103</f>
        <v>3608637</v>
      </c>
      <c r="P252" s="76">
        <f t="shared" si="53"/>
        <v>89.61952943648257</v>
      </c>
      <c r="Q252" s="138">
        <f t="shared" si="50"/>
        <v>15.53662761800427</v>
      </c>
    </row>
    <row r="253" spans="4:17" ht="12.75">
      <c r="D253" s="11" t="s">
        <v>229</v>
      </c>
      <c r="E253" s="68" t="e">
        <f>E217-E220-E225-E232-E235-E236-E237-E238-E251</f>
        <v>#REF!</v>
      </c>
      <c r="F253" s="68" t="e">
        <f>F217-F220-F225-F232-F235-F236-F237-F238-F251</f>
        <v>#REF!</v>
      </c>
      <c r="G253" s="68" t="e">
        <f>G217-G220-G225-G232-G235-G236-G237-G238-G251</f>
        <v>#REF!</v>
      </c>
      <c r="H253" s="68" t="e">
        <f>H217-H220-H225-H232-H235-H236-H237-H238-H251</f>
        <v>#REF!</v>
      </c>
      <c r="I253" s="61" t="e">
        <f t="shared" si="54"/>
        <v>#REF!</v>
      </c>
      <c r="J253" s="68" t="e">
        <f>J217-J220-J225-J232-J235-J236-J237-J238-J251</f>
        <v>#REF!</v>
      </c>
      <c r="K253" s="68" t="e">
        <f>K217-K220-K225-K232-K235-K236-K237-K238-K251</f>
        <v>#REF!</v>
      </c>
      <c r="L253" s="68" t="e">
        <f>L217-L220-L225-L232-L235-L236-L237-L238-L251</f>
        <v>#REF!</v>
      </c>
      <c r="M253" s="114">
        <f>M217-M220-M225-M233-M235-M236-M237-M238-M251</f>
        <v>7033466.040000003</v>
      </c>
      <c r="N253" s="147">
        <f t="shared" si="48"/>
        <v>28.144113649535964</v>
      </c>
      <c r="O253" s="114">
        <f>O217-O220-O225-O233-O235-O236-O237-O238-O251</f>
        <v>7421300.999999996</v>
      </c>
      <c r="P253" s="46">
        <f t="shared" si="53"/>
        <v>105.514137095343</v>
      </c>
      <c r="Q253" s="138">
        <f t="shared" si="50"/>
        <v>31.95167318799942</v>
      </c>
    </row>
    <row r="254" spans="4:17" ht="12.75">
      <c r="D254" s="4" t="s">
        <v>208</v>
      </c>
      <c r="E254" s="78" t="e">
        <f>E219</f>
        <v>#REF!</v>
      </c>
      <c r="F254" s="78" t="e">
        <f>F219</f>
        <v>#REF!</v>
      </c>
      <c r="G254" s="78" t="e">
        <f>G219</f>
        <v>#REF!</v>
      </c>
      <c r="H254" s="78" t="e">
        <f>H219</f>
        <v>#REF!</v>
      </c>
      <c r="I254" s="61" t="e">
        <f t="shared" si="54"/>
        <v>#REF!</v>
      </c>
      <c r="J254" s="78" t="e">
        <f>J219</f>
        <v>#REF!</v>
      </c>
      <c r="K254" s="78" t="e">
        <f>K219</f>
        <v>#REF!</v>
      </c>
      <c r="L254" s="78" t="e">
        <f>L219</f>
        <v>#REF!</v>
      </c>
      <c r="M254" s="115">
        <f>M219</f>
        <v>194391.99</v>
      </c>
      <c r="N254" s="147">
        <f t="shared" si="48"/>
        <v>0.7778512369300437</v>
      </c>
      <c r="O254" s="78">
        <f>O219</f>
        <v>222500</v>
      </c>
      <c r="P254" s="46">
        <f t="shared" si="53"/>
        <v>114.45944866349689</v>
      </c>
      <c r="Q254" s="138">
        <f t="shared" si="50"/>
        <v>0.9579516158056214</v>
      </c>
    </row>
    <row r="255" spans="4:17" ht="12.75">
      <c r="D255" s="4" t="s">
        <v>183</v>
      </c>
      <c r="E255" s="79" t="e">
        <f>E253-E254</f>
        <v>#REF!</v>
      </c>
      <c r="F255" s="79" t="e">
        <f>F253-F254</f>
        <v>#REF!</v>
      </c>
      <c r="G255" s="79" t="e">
        <f>G253-G254</f>
        <v>#REF!</v>
      </c>
      <c r="H255" s="79" t="e">
        <f>H253-H254</f>
        <v>#REF!</v>
      </c>
      <c r="I255" s="61" t="e">
        <f t="shared" si="54"/>
        <v>#REF!</v>
      </c>
      <c r="J255" s="79" t="e">
        <f>J253-J254</f>
        <v>#REF!</v>
      </c>
      <c r="K255" s="79" t="e">
        <f>K253-K254</f>
        <v>#REF!</v>
      </c>
      <c r="L255" s="79" t="e">
        <f>L253-L254</f>
        <v>#REF!</v>
      </c>
      <c r="M255" s="116">
        <f>M253-M254</f>
        <v>6839074.050000003</v>
      </c>
      <c r="N255" s="147">
        <f t="shared" si="48"/>
        <v>27.36626241260592</v>
      </c>
      <c r="O255" s="79">
        <f>O253-O254</f>
        <v>7198800.999999996</v>
      </c>
      <c r="P255" s="46">
        <f t="shared" si="53"/>
        <v>105.25987798011916</v>
      </c>
      <c r="Q255" s="138">
        <f t="shared" si="50"/>
        <v>30.993721572193795</v>
      </c>
    </row>
    <row r="256" spans="4:17" ht="12.75">
      <c r="D256" s="77"/>
      <c r="E256" s="94"/>
      <c r="F256" s="95"/>
      <c r="G256" s="94"/>
      <c r="H256" s="94"/>
      <c r="I256" s="96" t="e">
        <f t="shared" si="54"/>
        <v>#DIV/0!</v>
      </c>
      <c r="J256" s="95"/>
      <c r="K256" s="95"/>
      <c r="L256" s="95"/>
      <c r="M256" s="113">
        <f>SUM(M254:M255)</f>
        <v>7033466.040000003</v>
      </c>
      <c r="N256" s="147">
        <f t="shared" si="48"/>
        <v>28.144113649535964</v>
      </c>
      <c r="O256" s="94">
        <f>SUM(O254:O255)</f>
        <v>7421300.999999996</v>
      </c>
      <c r="P256" s="46"/>
      <c r="Q256" s="138">
        <f t="shared" si="50"/>
        <v>31.95167318799942</v>
      </c>
    </row>
    <row r="257" spans="9:17" ht="12.75">
      <c r="I257" s="61"/>
      <c r="M257" s="117"/>
      <c r="N257" s="147">
        <f t="shared" si="48"/>
        <v>0</v>
      </c>
      <c r="O257" s="18"/>
      <c r="P257" s="46"/>
      <c r="Q257" s="138">
        <f t="shared" si="50"/>
        <v>0</v>
      </c>
    </row>
    <row r="258" spans="4:17" ht="33.75" customHeight="1">
      <c r="D258" s="155" t="s">
        <v>250</v>
      </c>
      <c r="E258" s="48" t="e">
        <f>E255+E251+E238+E237+E236+E235+E221</f>
        <v>#REF!</v>
      </c>
      <c r="F258" s="48" t="e">
        <f>F255+F251+F238+F237+F236+F235+F221</f>
        <v>#REF!</v>
      </c>
      <c r="G258" s="48" t="e">
        <f>G255+G251+G238+G237+G236+G235+G221</f>
        <v>#REF!</v>
      </c>
      <c r="H258" s="48" t="e">
        <f>H255+H251+H238+H237+H236+H235+H221</f>
        <v>#REF!</v>
      </c>
      <c r="I258" s="61" t="e">
        <f t="shared" si="54"/>
        <v>#REF!</v>
      </c>
      <c r="J258" s="48" t="e">
        <f>J255+J251+J238+J237+J236+J235+J221</f>
        <v>#REF!</v>
      </c>
      <c r="K258" s="48" t="e">
        <f>K255+K251+K238+K237+K236+K235+K221</f>
        <v>#REF!</v>
      </c>
      <c r="L258" s="48" t="e">
        <f>L255+L251+L238+L237+L236+L235+L221</f>
        <v>#REF!</v>
      </c>
      <c r="M258" s="118">
        <f>M255+M251+M238+M237+M236+M235+M221</f>
        <v>22023441.740000006</v>
      </c>
      <c r="N258" s="147">
        <f t="shared" si="48"/>
        <v>88.12586053013686</v>
      </c>
      <c r="O258" s="48">
        <f>O255+O251+O238+O237+O236+O235+O221</f>
        <v>21247225.769999996</v>
      </c>
      <c r="P258" s="46">
        <f>(O258/M258)*100</f>
        <v>96.47550106307766</v>
      </c>
      <c r="Q258" s="138">
        <f t="shared" si="50"/>
        <v>91.4778168888015</v>
      </c>
    </row>
    <row r="259" spans="13:14" ht="12.75">
      <c r="M259" s="144"/>
      <c r="N259" s="148"/>
    </row>
    <row r="260" spans="4:5" ht="12.75">
      <c r="D260" s="67"/>
      <c r="E260" s="48" t="e">
        <f>E238+E237+E236+E235</f>
        <v>#REF!</v>
      </c>
    </row>
    <row r="261" ht="12.75">
      <c r="D261" s="67"/>
    </row>
    <row r="262" ht="12.75">
      <c r="D262" s="67"/>
    </row>
    <row r="263" ht="12.75">
      <c r="D263" s="67"/>
    </row>
    <row r="264" ht="12.75">
      <c r="D264" s="67"/>
    </row>
    <row r="265" ht="12.75">
      <c r="D265" s="67"/>
    </row>
  </sheetData>
  <mergeCells count="78">
    <mergeCell ref="Q1:Q2"/>
    <mergeCell ref="N1:N2"/>
    <mergeCell ref="B35:B36"/>
    <mergeCell ref="B100:B101"/>
    <mergeCell ref="B38:B39"/>
    <mergeCell ref="B48:B50"/>
    <mergeCell ref="B40:B47"/>
    <mergeCell ref="B52:B53"/>
    <mergeCell ref="O1:P1"/>
    <mergeCell ref="E1:E2"/>
    <mergeCell ref="B102:B103"/>
    <mergeCell ref="B105:B110"/>
    <mergeCell ref="B59:B61"/>
    <mergeCell ref="B96:B97"/>
    <mergeCell ref="B98:B99"/>
    <mergeCell ref="B92:B94"/>
    <mergeCell ref="B62:B71"/>
    <mergeCell ref="B72:B85"/>
    <mergeCell ref="B86:B90"/>
    <mergeCell ref="F1:F2"/>
    <mergeCell ref="G1:G2"/>
    <mergeCell ref="M1:M2"/>
    <mergeCell ref="H1:I1"/>
    <mergeCell ref="K1:L1"/>
    <mergeCell ref="J1:J2"/>
    <mergeCell ref="D1:D2"/>
    <mergeCell ref="B12:B13"/>
    <mergeCell ref="C1:C2"/>
    <mergeCell ref="B17:B20"/>
    <mergeCell ref="B9:B10"/>
    <mergeCell ref="B15:B16"/>
    <mergeCell ref="A1:A2"/>
    <mergeCell ref="B1:B2"/>
    <mergeCell ref="B22:B24"/>
    <mergeCell ref="B25:B33"/>
    <mergeCell ref="B5:B8"/>
    <mergeCell ref="A4:A10"/>
    <mergeCell ref="A11:A13"/>
    <mergeCell ref="A173:A177"/>
    <mergeCell ref="A138:A172"/>
    <mergeCell ref="B174:B177"/>
    <mergeCell ref="B136:B137"/>
    <mergeCell ref="B144:B146"/>
    <mergeCell ref="B157:B159"/>
    <mergeCell ref="B153:B156"/>
    <mergeCell ref="B162:B166"/>
    <mergeCell ref="B170:B172"/>
    <mergeCell ref="B167:B169"/>
    <mergeCell ref="A34:A36"/>
    <mergeCell ref="A14:A20"/>
    <mergeCell ref="A21:A33"/>
    <mergeCell ref="A135:A137"/>
    <mergeCell ref="A104:A134"/>
    <mergeCell ref="A51:A53"/>
    <mergeCell ref="A37:A50"/>
    <mergeCell ref="A58:A94"/>
    <mergeCell ref="A54:A56"/>
    <mergeCell ref="A95:A103"/>
    <mergeCell ref="B111:B113"/>
    <mergeCell ref="B213:B215"/>
    <mergeCell ref="B201:B211"/>
    <mergeCell ref="B122:B124"/>
    <mergeCell ref="B116:B121"/>
    <mergeCell ref="B179:B180"/>
    <mergeCell ref="B147:B152"/>
    <mergeCell ref="B139:B143"/>
    <mergeCell ref="B132:B134"/>
    <mergeCell ref="B125:B130"/>
    <mergeCell ref="A217:D217"/>
    <mergeCell ref="A178:A180"/>
    <mergeCell ref="B196:B197"/>
    <mergeCell ref="B187:B188"/>
    <mergeCell ref="B189:B190"/>
    <mergeCell ref="A181:A194"/>
    <mergeCell ref="A200:A215"/>
    <mergeCell ref="A195:A199"/>
    <mergeCell ref="B193:B194"/>
    <mergeCell ref="B182:B185"/>
  </mergeCells>
  <printOptions/>
  <pageMargins left="0.61" right="0.31" top="0.39" bottom="0.25" header="0.19" footer="0.16"/>
  <pageSetup orientation="portrait" paperSize="9" r:id="rId1"/>
  <headerFooter alignWithMargins="0">
    <oddHeader xml:space="preserve">&amp;CStrona &amp;P Zał. Nr 1 do  Uchwały Rady Miejskiej Jeziorany Nr ..  z  dnia   ...  PROJEKT  DOCHODÓW na 2013r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 Miasta</cp:lastModifiedBy>
  <cp:lastPrinted>2012-12-20T12:45:09Z</cp:lastPrinted>
  <dcterms:created xsi:type="dcterms:W3CDTF">2009-11-12T11:13:42Z</dcterms:created>
  <dcterms:modified xsi:type="dcterms:W3CDTF">2012-12-20T13:15:15Z</dcterms:modified>
  <cp:category/>
  <cp:version/>
  <cp:contentType/>
  <cp:contentStatus/>
</cp:coreProperties>
</file>